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39" firstSheet="12" activeTab="21"/>
  </bookViews>
  <sheets>
    <sheet name="Кирова 19а" sheetId="52" r:id="rId1"/>
    <sheet name="Строительная 28аотчет" sheetId="54" r:id="rId2"/>
    <sheet name="Строительная 28а" sheetId="40" r:id="rId3"/>
    <sheet name="М.Горького 3а" sheetId="48" r:id="rId4"/>
    <sheet name="М.Горького 3б" sheetId="37" r:id="rId5"/>
    <sheet name="М.Горького 4б" sheetId="36" r:id="rId6"/>
    <sheet name="М.Горького 4а" sheetId="35" r:id="rId7"/>
    <sheet name="Лесная 3а" sheetId="33" r:id="rId8"/>
    <sheet name="Лесная 2а" sheetId="38" r:id="rId9"/>
    <sheet name="Пионерская 24а" sheetId="32" r:id="rId10"/>
    <sheet name="Пионерская 20" sheetId="50" r:id="rId11"/>
    <sheet name="Пионерская 18" sheetId="47" r:id="rId12"/>
    <sheet name="Пионерская 16" sheetId="51" r:id="rId13"/>
    <sheet name="Пионерская 14" sheetId="34" r:id="rId14"/>
    <sheet name="Пионерская 6" sheetId="43" r:id="rId15"/>
    <sheet name="Пионерская 4 " sheetId="53" r:id="rId16"/>
    <sheet name="Пионерская 2а" sheetId="42" r:id="rId17"/>
    <sheet name="Гагарина 5а" sheetId="30" r:id="rId18"/>
    <sheet name="Гагарина 2а" sheetId="44" r:id="rId19"/>
    <sheet name="Гагарина 1" sheetId="41" r:id="rId20"/>
    <sheet name="вокзальная 17а" sheetId="46" r:id="rId21"/>
    <sheet name="вокзальная 11а" sheetId="23" r:id="rId22"/>
    <sheet name="вокзальная 9а" sheetId="28" r:id="rId23"/>
    <sheet name="Пушкина 30а" sheetId="39" r:id="rId24"/>
    <sheet name="Пушкина 11а" sheetId="31" r:id="rId25"/>
    <sheet name="Пушкина 7а" sheetId="24" r:id="rId26"/>
    <sheet name="Пушкина 6а" sheetId="25" r:id="rId27"/>
    <sheet name="Пушкина 5а" sheetId="27" r:id="rId28"/>
    <sheet name="Пушкина 4а" sheetId="22" r:id="rId29"/>
    <sheet name="Пушкина 3а" sheetId="29" r:id="rId30"/>
    <sheet name="Пушкина 2а" sheetId="26" r:id="rId31"/>
    <sheet name="Пушкина 2" sheetId="49" r:id="rId32"/>
    <sheet name="7 км дом 2" sheetId="21" r:id="rId33"/>
    <sheet name="7 км дом1" sheetId="20" r:id="rId34"/>
    <sheet name="Западная 15" sheetId="19" r:id="rId35"/>
    <sheet name="Лист1" sheetId="1" r:id="rId36"/>
    <sheet name="свод" sheetId="2" r:id="rId37"/>
    <sheet name="свод 1 " sheetId="3" r:id="rId38"/>
    <sheet name="сводный отчет" sheetId="55" r:id="rId39"/>
  </sheets>
  <calcPr calcId="125725"/>
</workbook>
</file>

<file path=xl/calcChain.xml><?xml version="1.0" encoding="utf-8"?>
<calcChain xmlns="http://schemas.openxmlformats.org/spreadsheetml/2006/main">
  <c r="C40" i="52"/>
  <c r="B249" i="29"/>
  <c r="B165" i="31"/>
  <c r="B221" i="39"/>
  <c r="C44" i="43"/>
  <c r="C41"/>
  <c r="C40"/>
  <c r="C39"/>
  <c r="C38"/>
  <c r="C37"/>
  <c r="C36"/>
  <c r="B198" i="38"/>
  <c r="B250" i="33"/>
  <c r="B171" i="22"/>
  <c r="B155" i="48"/>
  <c r="B55" i="35"/>
  <c r="B62"/>
  <c r="B45" i="30"/>
  <c r="C64" i="41"/>
  <c r="B71" i="23"/>
  <c r="B62" i="28"/>
  <c r="B69"/>
  <c r="B79"/>
  <c r="C80" i="41"/>
  <c r="J34" i="55"/>
  <c r="I33"/>
  <c r="I32"/>
  <c r="I28"/>
  <c r="I27"/>
  <c r="H25"/>
  <c r="I24"/>
  <c r="I20"/>
  <c r="I19"/>
  <c r="I17"/>
  <c r="I16"/>
  <c r="H12"/>
  <c r="I11"/>
  <c r="H9"/>
  <c r="H8"/>
  <c r="H7"/>
  <c r="G33"/>
  <c r="G32"/>
  <c r="G31"/>
  <c r="H31" s="1"/>
  <c r="G30"/>
  <c r="I30" s="1"/>
  <c r="G29"/>
  <c r="I29" s="1"/>
  <c r="G28"/>
  <c r="G27"/>
  <c r="G26"/>
  <c r="I26" s="1"/>
  <c r="G25"/>
  <c r="G24"/>
  <c r="G23"/>
  <c r="H23" s="1"/>
  <c r="G22"/>
  <c r="I22" s="1"/>
  <c r="G21"/>
  <c r="H21" s="1"/>
  <c r="G20"/>
  <c r="G19"/>
  <c r="G18"/>
  <c r="H18" s="1"/>
  <c r="G17"/>
  <c r="G16"/>
  <c r="G15"/>
  <c r="I15" s="1"/>
  <c r="G14"/>
  <c r="I14" s="1"/>
  <c r="G13"/>
  <c r="H13" s="1"/>
  <c r="G12"/>
  <c r="G11"/>
  <c r="G9"/>
  <c r="G8"/>
  <c r="G7"/>
  <c r="G6"/>
  <c r="H6" s="1"/>
  <c r="G5"/>
  <c r="H5" s="1"/>
  <c r="G4"/>
  <c r="H4" s="1"/>
  <c r="F34"/>
  <c r="E34"/>
  <c r="F35" s="1"/>
  <c r="D34"/>
  <c r="G10"/>
  <c r="I10" s="1"/>
  <c r="C142" i="32"/>
  <c r="C141"/>
  <c r="C137"/>
  <c r="C136"/>
  <c r="C135"/>
  <c r="C134"/>
  <c r="C133"/>
  <c r="C132"/>
  <c r="C131"/>
  <c r="C148"/>
  <c r="B164" i="31"/>
  <c r="B160"/>
  <c r="B159"/>
  <c r="B158"/>
  <c r="B157"/>
  <c r="B156"/>
  <c r="B155"/>
  <c r="B335" i="25"/>
  <c r="B334"/>
  <c r="B331"/>
  <c r="B330"/>
  <c r="B329"/>
  <c r="B328"/>
  <c r="B327"/>
  <c r="B386" i="24"/>
  <c r="B385"/>
  <c r="B382"/>
  <c r="B381"/>
  <c r="B380"/>
  <c r="B379"/>
  <c r="B378"/>
  <c r="I34" i="55" l="1"/>
  <c r="H34"/>
  <c r="G34"/>
  <c r="B142" i="27"/>
  <c r="B141"/>
  <c r="B137"/>
  <c r="B136"/>
  <c r="B135"/>
  <c r="B134"/>
  <c r="B220" i="39"/>
  <c r="B219"/>
  <c r="B216"/>
  <c r="B215"/>
  <c r="B214"/>
  <c r="B213"/>
  <c r="B212"/>
  <c r="B211"/>
  <c r="B197" i="38"/>
  <c r="B196"/>
  <c r="B193"/>
  <c r="B192"/>
  <c r="B191"/>
  <c r="B190"/>
  <c r="B189"/>
  <c r="B204"/>
  <c r="B182"/>
  <c r="B183" s="1"/>
  <c r="B248" i="29"/>
  <c r="B244"/>
  <c r="B243"/>
  <c r="B242"/>
  <c r="B241"/>
  <c r="B240"/>
  <c r="B204" i="39"/>
  <c r="B227"/>
  <c r="B205"/>
  <c r="B207" s="1"/>
  <c r="B148" i="31"/>
  <c r="B163" s="1"/>
  <c r="B171"/>
  <c r="B370" i="24"/>
  <c r="B372" s="1"/>
  <c r="B374" s="1"/>
  <c r="B368"/>
  <c r="B392"/>
  <c r="B341" i="25"/>
  <c r="B319"/>
  <c r="B317"/>
  <c r="B138" i="27"/>
  <c r="B127"/>
  <c r="B128" s="1"/>
  <c r="B130" s="1"/>
  <c r="B148"/>
  <c r="B233" i="29"/>
  <c r="B247" s="1"/>
  <c r="B255"/>
  <c r="B172" i="22"/>
  <c r="B170"/>
  <c r="B167"/>
  <c r="B166"/>
  <c r="B165"/>
  <c r="B164"/>
  <c r="B163"/>
  <c r="B157"/>
  <c r="B159" s="1"/>
  <c r="B156"/>
  <c r="B178"/>
  <c r="B304" i="26"/>
  <c r="B303"/>
  <c r="B300"/>
  <c r="B299"/>
  <c r="B298"/>
  <c r="B297"/>
  <c r="B296"/>
  <c r="B310"/>
  <c r="B289"/>
  <c r="B249" i="33"/>
  <c r="B248"/>
  <c r="B245"/>
  <c r="B244"/>
  <c r="B243"/>
  <c r="B242"/>
  <c r="B241"/>
  <c r="B89" i="50"/>
  <c r="B88"/>
  <c r="B84"/>
  <c r="B83"/>
  <c r="B82"/>
  <c r="B81"/>
  <c r="B80"/>
  <c r="B79"/>
  <c r="B78"/>
  <c r="B61" i="47"/>
  <c r="B60"/>
  <c r="B56"/>
  <c r="B55"/>
  <c r="B54"/>
  <c r="B53"/>
  <c r="B52"/>
  <c r="B51"/>
  <c r="B50"/>
  <c r="B94" i="51"/>
  <c r="B93"/>
  <c r="B89"/>
  <c r="B88"/>
  <c r="B87"/>
  <c r="B86"/>
  <c r="B85"/>
  <c r="B84"/>
  <c r="B83"/>
  <c r="B68"/>
  <c r="B80" i="34"/>
  <c r="B79"/>
  <c r="B75"/>
  <c r="B74"/>
  <c r="B73"/>
  <c r="B72"/>
  <c r="B71"/>
  <c r="B70"/>
  <c r="B69"/>
  <c r="B68"/>
  <c r="C53"/>
  <c r="C45" i="43"/>
  <c r="C51"/>
  <c r="B51" i="53"/>
  <c r="B49"/>
  <c r="B46"/>
  <c r="B45"/>
  <c r="B44"/>
  <c r="B43"/>
  <c r="B42"/>
  <c r="B41"/>
  <c r="B57"/>
  <c r="B35"/>
  <c r="B37" s="1"/>
  <c r="B19"/>
  <c r="B49" i="42"/>
  <c r="B48"/>
  <c r="B44"/>
  <c r="B42"/>
  <c r="B41"/>
  <c r="B40"/>
  <c r="B39"/>
  <c r="B38"/>
  <c r="B55"/>
  <c r="B43"/>
  <c r="B13"/>
  <c r="B9"/>
  <c r="B12"/>
  <c r="B10"/>
  <c r="B19"/>
  <c r="B33" i="53"/>
  <c r="B47" i="42"/>
  <c r="B32"/>
  <c r="B34" s="1"/>
  <c r="B86" i="34"/>
  <c r="C30" i="43"/>
  <c r="C32" s="1"/>
  <c r="B78" i="34"/>
  <c r="B62"/>
  <c r="B64" s="1"/>
  <c r="B75" i="51"/>
  <c r="B92"/>
  <c r="B77"/>
  <c r="B79" s="1"/>
  <c r="B66" i="47"/>
  <c r="B42"/>
  <c r="B59"/>
  <c r="C125" i="32"/>
  <c r="C127" s="1"/>
  <c r="B95" i="50"/>
  <c r="B87"/>
  <c r="B72"/>
  <c r="B74" s="1"/>
  <c r="C140" i="32"/>
  <c r="C123"/>
  <c r="B256" i="33"/>
  <c r="B234"/>
  <c r="B233"/>
  <c r="B72" i="28"/>
  <c r="B78"/>
  <c r="B76"/>
  <c r="B73"/>
  <c r="B70"/>
  <c r="B68"/>
  <c r="B83"/>
  <c r="B80" i="23"/>
  <c r="B85"/>
  <c r="B82"/>
  <c r="B81"/>
  <c r="B79"/>
  <c r="B78"/>
  <c r="B77"/>
  <c r="B90"/>
  <c r="C59" i="46"/>
  <c r="C57"/>
  <c r="C53"/>
  <c r="C52"/>
  <c r="C51"/>
  <c r="C50"/>
  <c r="C49"/>
  <c r="C48"/>
  <c r="C65"/>
  <c r="C56"/>
  <c r="C42"/>
  <c r="B62" i="30"/>
  <c r="B60"/>
  <c r="B57"/>
  <c r="B56"/>
  <c r="B53"/>
  <c r="B52"/>
  <c r="B51"/>
  <c r="B67"/>
  <c r="B104" i="44"/>
  <c r="B102"/>
  <c r="B99"/>
  <c r="B98"/>
  <c r="B96"/>
  <c r="B95"/>
  <c r="B94"/>
  <c r="B93"/>
  <c r="B108"/>
  <c r="B87"/>
  <c r="C78" i="41"/>
  <c r="C74"/>
  <c r="C73"/>
  <c r="C72"/>
  <c r="C71"/>
  <c r="C70"/>
  <c r="B85"/>
  <c r="B70" i="35"/>
  <c r="B68"/>
  <c r="B67"/>
  <c r="B65"/>
  <c r="B64"/>
  <c r="B63"/>
  <c r="B61"/>
  <c r="B128" i="54"/>
  <c r="C128" s="1"/>
  <c r="B117"/>
  <c r="B119" s="1"/>
  <c r="B133"/>
  <c r="B131"/>
  <c r="B127"/>
  <c r="C127" s="1"/>
  <c r="B126"/>
  <c r="C126" s="1"/>
  <c r="B125"/>
  <c r="C125" s="1"/>
  <c r="B124"/>
  <c r="B123"/>
  <c r="B132"/>
  <c r="B139"/>
  <c r="C123"/>
  <c r="B154" i="48"/>
  <c r="B149"/>
  <c r="B148"/>
  <c r="B147"/>
  <c r="B146"/>
  <c r="B145"/>
  <c r="C60" i="52"/>
  <c r="C55"/>
  <c r="C54"/>
  <c r="C51"/>
  <c r="C50"/>
  <c r="C49"/>
  <c r="D60"/>
  <c r="C66"/>
  <c r="C59"/>
  <c r="C43"/>
  <c r="B73" i="23"/>
  <c r="C133" i="54"/>
  <c r="B46" i="47" l="1"/>
  <c r="B44"/>
  <c r="C46" i="46"/>
  <c r="C66" s="1"/>
  <c r="C67" s="1"/>
  <c r="B292" i="26"/>
  <c r="B290"/>
  <c r="B234" i="29"/>
  <c r="B236" s="1"/>
  <c r="B185" i="38"/>
  <c r="B149" i="31"/>
  <c r="B151" s="1"/>
  <c r="B321" i="25"/>
  <c r="B323" s="1"/>
  <c r="B235" i="33"/>
  <c r="B237" s="1"/>
  <c r="B59" i="35"/>
  <c r="C104" i="44"/>
  <c r="C99"/>
  <c r="C98"/>
  <c r="C97"/>
  <c r="C96"/>
  <c r="C95"/>
  <c r="C94"/>
  <c r="C93"/>
  <c r="B89"/>
  <c r="B47" i="30"/>
  <c r="C66" i="41"/>
  <c r="C32" i="46"/>
  <c r="C54" s="1"/>
  <c r="C55" s="1"/>
  <c r="C44"/>
  <c r="B63" i="23"/>
  <c r="B83" s="1"/>
  <c r="B84" s="1"/>
  <c r="B75" s="1"/>
  <c r="B91" s="1"/>
  <c r="B92" s="1"/>
  <c r="C78" i="28"/>
  <c r="C73"/>
  <c r="C72"/>
  <c r="C71"/>
  <c r="C70"/>
  <c r="C69"/>
  <c r="B64"/>
  <c r="C56" i="52"/>
  <c r="C57" s="1"/>
  <c r="D57" s="1"/>
  <c r="C33"/>
  <c r="D55"/>
  <c r="D54"/>
  <c r="D53"/>
  <c r="D52"/>
  <c r="D51"/>
  <c r="D50"/>
  <c r="D49"/>
  <c r="C45"/>
  <c r="B156" i="48"/>
  <c r="C149"/>
  <c r="C146"/>
  <c r="C145"/>
  <c r="B161"/>
  <c r="C154"/>
  <c r="C147"/>
  <c r="B141"/>
  <c r="B129"/>
  <c r="C70" i="49"/>
  <c r="E70" s="1"/>
  <c r="D60"/>
  <c r="E73"/>
  <c r="C73"/>
  <c r="C62" i="52" l="1"/>
  <c r="B87" i="23"/>
  <c r="C61" i="46"/>
  <c r="C68" i="28"/>
  <c r="D38" i="52"/>
  <c r="C47"/>
  <c r="C148" i="48"/>
  <c r="B150"/>
  <c r="B151" s="1"/>
  <c r="B143" s="1"/>
  <c r="B112" i="37"/>
  <c r="B106"/>
  <c r="C106" s="1"/>
  <c r="B113"/>
  <c r="C113" s="1"/>
  <c r="C105"/>
  <c r="C102"/>
  <c r="C65" i="49"/>
  <c r="B65"/>
  <c r="B79" s="1"/>
  <c r="C62"/>
  <c r="B62"/>
  <c r="B108" i="37"/>
  <c r="C108" s="1"/>
  <c r="B107"/>
  <c r="C107" s="1"/>
  <c r="B104"/>
  <c r="C104" s="1"/>
  <c r="B103"/>
  <c r="C103" s="1"/>
  <c r="B102"/>
  <c r="B119"/>
  <c r="C42"/>
  <c r="O34" i="3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M22"/>
  <c r="L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"/>
  <c r="F11"/>
  <c r="F10"/>
  <c r="F9"/>
  <c r="F8"/>
  <c r="F7"/>
  <c r="F6"/>
  <c r="F5"/>
  <c r="F4"/>
  <c r="F35" s="1"/>
  <c r="E44" i="49"/>
  <c r="D44" s="1"/>
  <c r="E51"/>
  <c r="E52"/>
  <c r="D52" s="1"/>
  <c r="B39"/>
  <c r="B53" s="1"/>
  <c r="B36"/>
  <c r="C46"/>
  <c r="E46" s="1"/>
  <c r="C36"/>
  <c r="C45"/>
  <c r="C48"/>
  <c r="E48" s="1"/>
  <c r="D48" s="1"/>
  <c r="C39"/>
  <c r="D71" i="2"/>
  <c r="C77"/>
  <c r="O77" s="1"/>
  <c r="C76"/>
  <c r="O76" s="1"/>
  <c r="C47"/>
  <c r="O47" s="1"/>
  <c r="C57"/>
  <c r="O57" s="1"/>
  <c r="C71"/>
  <c r="O79"/>
  <c r="O78"/>
  <c r="O75"/>
  <c r="O74"/>
  <c r="O73"/>
  <c r="O72"/>
  <c r="O70"/>
  <c r="O69"/>
  <c r="O68"/>
  <c r="O67"/>
  <c r="O66"/>
  <c r="O65"/>
  <c r="O64"/>
  <c r="O63"/>
  <c r="O62"/>
  <c r="O61"/>
  <c r="O60"/>
  <c r="O59"/>
  <c r="O58"/>
  <c r="O56"/>
  <c r="O55"/>
  <c r="O54"/>
  <c r="O53"/>
  <c r="O52"/>
  <c r="O51"/>
  <c r="O50"/>
  <c r="O49"/>
  <c r="O48"/>
  <c r="K43"/>
  <c r="K42"/>
  <c r="K40"/>
  <c r="K39"/>
  <c r="K38"/>
  <c r="K37"/>
  <c r="K36"/>
  <c r="K35"/>
  <c r="K34"/>
  <c r="K33"/>
  <c r="K32"/>
  <c r="K44"/>
  <c r="K41"/>
  <c r="L44"/>
  <c r="L41"/>
  <c r="L40"/>
  <c r="L39"/>
  <c r="L38"/>
  <c r="L37"/>
  <c r="L36"/>
  <c r="L35"/>
  <c r="L34"/>
  <c r="L33"/>
  <c r="L32"/>
  <c r="L43"/>
  <c r="L42"/>
  <c r="M44"/>
  <c r="M43"/>
  <c r="M42"/>
  <c r="M41"/>
  <c r="M40"/>
  <c r="M39"/>
  <c r="M38"/>
  <c r="M37"/>
  <c r="M36"/>
  <c r="M35"/>
  <c r="M34"/>
  <c r="M33"/>
  <c r="M32"/>
  <c r="N38"/>
  <c r="N35"/>
  <c r="N34"/>
  <c r="D2"/>
  <c r="C23"/>
  <c r="D23" s="1"/>
  <c r="C4"/>
  <c r="C5"/>
  <c r="C3"/>
  <c r="D3" s="1"/>
  <c r="D29" i="49"/>
  <c r="C49" s="1"/>
  <c r="C50" s="1"/>
  <c r="C47"/>
  <c r="E47" s="1"/>
  <c r="B68" i="44"/>
  <c r="B61"/>
  <c r="B65"/>
  <c r="B71"/>
  <c r="B69"/>
  <c r="B67"/>
  <c r="B66"/>
  <c r="B44" i="36"/>
  <c r="B45"/>
  <c r="C22"/>
  <c r="B46"/>
  <c r="B51"/>
  <c r="B47"/>
  <c r="B43"/>
  <c r="B42"/>
  <c r="B33"/>
  <c r="B30"/>
  <c r="B67" i="19"/>
  <c r="B66"/>
  <c r="B69"/>
  <c r="B70"/>
  <c r="B68"/>
  <c r="B58"/>
  <c r="G34" i="30"/>
  <c r="G35"/>
  <c r="D21" i="43"/>
  <c r="C68" i="52" l="1"/>
  <c r="C69" s="1"/>
  <c r="B162" i="48"/>
  <c r="B163" s="1"/>
  <c r="C67" i="49"/>
  <c r="C79" s="1"/>
  <c r="O42" i="2"/>
  <c r="O38"/>
  <c r="O44"/>
  <c r="O34"/>
  <c r="O41"/>
  <c r="O43"/>
  <c r="O35"/>
  <c r="O39"/>
  <c r="O33"/>
  <c r="O37"/>
  <c r="O32"/>
  <c r="O71"/>
  <c r="O80" s="1"/>
  <c r="R80" s="1"/>
  <c r="O36"/>
  <c r="O40"/>
  <c r="D50" i="49"/>
  <c r="D47"/>
  <c r="D46"/>
  <c r="E50"/>
  <c r="E45"/>
  <c r="C41"/>
  <c r="C68" i="51"/>
  <c r="E43" i="49" l="1"/>
  <c r="D43" s="1"/>
  <c r="O45" i="2"/>
  <c r="P45" s="1"/>
  <c r="P41" s="1"/>
  <c r="B157" i="48"/>
  <c r="C151"/>
  <c r="C134" s="1"/>
  <c r="D45" i="49"/>
  <c r="D34" s="1"/>
  <c r="E34" s="1"/>
  <c r="C53"/>
  <c r="B98" i="37"/>
  <c r="B60" i="19"/>
  <c r="C51" i="28"/>
  <c r="P42" i="2" l="1"/>
  <c r="P36"/>
  <c r="P34"/>
  <c r="P40"/>
  <c r="P43"/>
  <c r="P37"/>
  <c r="P39"/>
  <c r="P33"/>
  <c r="P44"/>
  <c r="P38"/>
  <c r="P35"/>
  <c r="P32"/>
  <c r="B59" i="19"/>
  <c r="B62" s="1"/>
  <c r="B36" i="36"/>
  <c r="B34"/>
  <c r="C173" i="38"/>
  <c r="B31" i="36" l="1"/>
  <c r="B37" s="1"/>
  <c r="C21" i="43" l="1"/>
  <c r="C42" s="1"/>
  <c r="C43" s="1"/>
  <c r="C34" s="1"/>
  <c r="C52" l="1"/>
  <c r="C53" s="1"/>
  <c r="C39" i="19"/>
  <c r="C47" i="43" l="1"/>
  <c r="C51" i="19"/>
  <c r="B71" s="1"/>
  <c r="B72" s="1"/>
  <c r="B64" s="1"/>
  <c r="B74" s="1"/>
  <c r="D30" i="20"/>
  <c r="D29"/>
  <c r="D27" l="1"/>
  <c r="D63" l="1"/>
  <c r="D62" l="1"/>
  <c r="D61"/>
  <c r="D60"/>
  <c r="D16"/>
  <c r="D79" i="21" l="1"/>
  <c r="D78" l="1"/>
  <c r="D39" l="1"/>
  <c r="D18" l="1"/>
  <c r="D31" l="1"/>
  <c r="D30"/>
  <c r="D29"/>
  <c r="D102" l="1"/>
  <c r="D101"/>
  <c r="D100"/>
  <c r="D99"/>
  <c r="D98"/>
  <c r="D72"/>
  <c r="D71"/>
  <c r="D70"/>
  <c r="D69"/>
  <c r="D68"/>
  <c r="D67"/>
  <c r="D97" l="1"/>
  <c r="D96" l="1"/>
  <c r="D95"/>
  <c r="D94"/>
  <c r="D93"/>
  <c r="D66"/>
  <c r="D65"/>
  <c r="D64"/>
  <c r="D63"/>
  <c r="D17"/>
  <c r="D16"/>
  <c r="B282" i="26" l="1"/>
  <c r="B301" s="1"/>
  <c r="B302" l="1"/>
  <c r="B294" s="1"/>
  <c r="B311" s="1"/>
  <c r="B312" s="1"/>
  <c r="B306" l="1"/>
  <c r="B226" i="29"/>
  <c r="B245" s="1"/>
  <c r="B246" s="1"/>
  <c r="B238" s="1"/>
  <c r="B251" l="1"/>
  <c r="B256"/>
  <c r="B257" s="1"/>
  <c r="B120" i="27" l="1"/>
  <c r="B139" s="1"/>
  <c r="B140" s="1"/>
  <c r="B132" s="1"/>
  <c r="B149" l="1"/>
  <c r="B150" s="1"/>
  <c r="B144"/>
  <c r="B22" i="25" l="1"/>
  <c r="B364" i="24" l="1"/>
  <c r="B383" s="1"/>
  <c r="B384" s="1"/>
  <c r="B376" s="1"/>
  <c r="B388" l="1"/>
  <c r="B393"/>
  <c r="B394" s="1"/>
  <c r="B141" i="31"/>
  <c r="B161" s="1"/>
  <c r="B162" s="1"/>
  <c r="B153" s="1"/>
  <c r="B167" s="1"/>
  <c r="B172" l="1"/>
  <c r="B173" s="1"/>
  <c r="B197" i="39" l="1"/>
  <c r="B217" s="1"/>
  <c r="B218" s="1"/>
  <c r="B209" s="1"/>
  <c r="B51" i="28"/>
  <c r="B74" s="1"/>
  <c r="B75" s="1"/>
  <c r="B66" l="1"/>
  <c r="B80" s="1"/>
  <c r="C75"/>
  <c r="C57" s="1"/>
  <c r="B228" i="39"/>
  <c r="B229" s="1"/>
  <c r="B223"/>
  <c r="B19" i="44"/>
  <c r="B51" l="1"/>
  <c r="B72" l="1"/>
  <c r="B73" s="1"/>
  <c r="B63" s="1"/>
  <c r="B76" s="1"/>
  <c r="B100"/>
  <c r="B101" s="1"/>
  <c r="B13" i="30"/>
  <c r="B36" s="1"/>
  <c r="B58" s="1"/>
  <c r="B59" s="1"/>
  <c r="C101" i="44" l="1"/>
  <c r="C83" s="1"/>
  <c r="B91"/>
  <c r="B105" s="1"/>
  <c r="B49" i="30"/>
  <c r="B63" s="1"/>
  <c r="B23" i="42"/>
  <c r="B45" s="1"/>
  <c r="B46" s="1"/>
  <c r="B36" s="1"/>
  <c r="B56" l="1"/>
  <c r="B57" s="1"/>
  <c r="B51"/>
  <c r="B109" i="44"/>
  <c r="B110" s="1"/>
  <c r="B22" i="53" l="1"/>
  <c r="B47" s="1"/>
  <c r="B48" s="1"/>
  <c r="B39" s="1"/>
  <c r="B58" l="1"/>
  <c r="B59" s="1"/>
  <c r="B53"/>
  <c r="B31" i="34"/>
  <c r="B53" s="1"/>
  <c r="B76" l="1"/>
  <c r="B77" s="1"/>
  <c r="B66" s="1"/>
  <c r="B87" s="1"/>
  <c r="B88" s="1"/>
  <c r="B82" l="1"/>
  <c r="B90" i="51"/>
  <c r="B91" l="1"/>
  <c r="B81" s="1"/>
  <c r="B96" s="1"/>
  <c r="B35" i="47" l="1"/>
  <c r="B57" s="1"/>
  <c r="B10" i="50"/>
  <c r="B58" i="47" l="1"/>
  <c r="B48" s="1"/>
  <c r="B63" i="50"/>
  <c r="B85" s="1"/>
  <c r="B86" s="1"/>
  <c r="B76" s="1"/>
  <c r="C30" i="32"/>
  <c r="C115" s="1"/>
  <c r="C138" s="1"/>
  <c r="C139" s="1"/>
  <c r="C129" s="1"/>
  <c r="C149" l="1"/>
  <c r="C150" s="1"/>
  <c r="C144"/>
  <c r="B67" i="47"/>
  <c r="B68" s="1"/>
  <c r="B62"/>
  <c r="B96" i="50"/>
  <c r="B97" s="1"/>
  <c r="B91"/>
  <c r="B173" i="38"/>
  <c r="B194" s="1"/>
  <c r="B195" s="1"/>
  <c r="B187" s="1"/>
  <c r="B200" s="1"/>
  <c r="D185" l="1"/>
  <c r="B205"/>
  <c r="B206" s="1"/>
  <c r="B40" i="33"/>
  <c r="B15"/>
  <c r="B225" l="1"/>
  <c r="B246" s="1"/>
  <c r="B247"/>
  <c r="B20" i="35"/>
  <c r="B44" s="1"/>
  <c r="B239" i="33" l="1"/>
  <c r="B257" s="1"/>
  <c r="B258" s="1"/>
  <c r="B48" i="36"/>
  <c r="B49" s="1"/>
  <c r="B40" s="1"/>
  <c r="B252" i="33" l="1"/>
  <c r="C87" i="37"/>
  <c r="B109" s="1"/>
  <c r="B110" s="1"/>
  <c r="C110" l="1"/>
  <c r="C92" s="1"/>
  <c r="B100"/>
  <c r="B73" i="54"/>
  <c r="B115" i="37" l="1"/>
  <c r="B120"/>
  <c r="B121" s="1"/>
  <c r="B69" i="54"/>
  <c r="B106" l="1"/>
  <c r="B129" s="1"/>
  <c r="B130" s="1"/>
  <c r="B121" l="1"/>
  <c r="B135" s="1"/>
  <c r="B140"/>
  <c r="B141" s="1"/>
  <c r="B142" s="1"/>
  <c r="C130"/>
  <c r="C112" s="1"/>
  <c r="D74" i="21"/>
  <c r="D46" i="20"/>
  <c r="C52" i="41" l="1"/>
  <c r="C75" s="1"/>
  <c r="C77" s="1"/>
  <c r="C68" s="1"/>
  <c r="C81" s="1"/>
  <c r="B313" i="25"/>
  <c r="B332" s="1"/>
  <c r="D55" i="21"/>
  <c r="D22" i="40"/>
  <c r="B325" i="25" l="1"/>
  <c r="B337" s="1"/>
  <c r="B333"/>
  <c r="B86" i="41"/>
  <c r="B87" s="1"/>
  <c r="B146" i="22"/>
  <c r="B168" s="1"/>
  <c r="B169" l="1"/>
  <c r="B161" s="1"/>
  <c r="B174" l="1"/>
  <c r="B179"/>
  <c r="B180" s="1"/>
  <c r="B57" i="35"/>
  <c r="B72" s="1"/>
</calcChain>
</file>

<file path=xl/sharedStrings.xml><?xml version="1.0" encoding="utf-8"?>
<sst xmlns="http://schemas.openxmlformats.org/spreadsheetml/2006/main" count="5443" uniqueCount="3822">
  <si>
    <t>Санитарная уборка мест общего пользования</t>
  </si>
  <si>
    <t>1.1.</t>
  </si>
  <si>
    <t>Подметание с предварительным увлажнением лестничных площадок и маршей нижних 3-х этажей (1 раз в день  304 раз/в год)</t>
  </si>
  <si>
    <t>1.2.</t>
  </si>
  <si>
    <t xml:space="preserve">Подметание с предварительным увлажнением тамбура при входе в подвал                                                                                                                               </t>
  </si>
  <si>
    <t>1.3.</t>
  </si>
  <si>
    <t xml:space="preserve">Подметание с предварительным увлажнением лестничных площадок и маршей выше 3-го этажа  (через день, 152 раза/в год)                                                                            </t>
  </si>
  <si>
    <t>1.4.</t>
  </si>
  <si>
    <t xml:space="preserve">Мытье лестничных площадок и маршей с периодической сменой воды нижних  3-х этажей (1 раз в месяц, 9 раз/в год, кроме декабря, января, февраля)                                                                                                           </t>
  </si>
  <si>
    <t>1.5.</t>
  </si>
  <si>
    <t xml:space="preserve">Мытье лестничных площадок и маршей с периодической сменой воды выше 3-го этажа (1 раз в месяц, 9 раз/в год, кроме декабря, января, февраля)                                                                                                                  </t>
  </si>
  <si>
    <t>1.6.</t>
  </si>
  <si>
    <t>Мытье окон (1 раз/в год)</t>
  </si>
  <si>
    <t>1.7.</t>
  </si>
  <si>
    <t xml:space="preserve">Влажная протирка элементов лестничных клеток жилых домов с периодической сменой воды - дверей (1 раз/в год)                                                                                                                                 </t>
  </si>
  <si>
    <t>1.8.</t>
  </si>
  <si>
    <t xml:space="preserve">Влажная протирка элементов лестничных клеток жилых домов с периодической сменой воды - чердачные лестницы (периодичность 1 раз в 3 месяца, 4 раза/в год)                                                                                                                                                                                      </t>
  </si>
  <si>
    <t>1.9.</t>
  </si>
  <si>
    <t xml:space="preserve">Влажная протирка элементов лестничных клеток жилых домов с периодической сменой воды - стен, окрашенных масляной краской  (периодичность 1 раз в 3 месяца, 4 раза/в год)                                                                                                                                          </t>
  </si>
  <si>
    <t>1.10.</t>
  </si>
  <si>
    <t xml:space="preserve">Обметание пыли с потолков  (периодичность 1 раз/в год)                                                </t>
  </si>
  <si>
    <t>1.11.</t>
  </si>
  <si>
    <t xml:space="preserve">Влажная протирка элементов лестничных клеток жилых домов с периодической сменой воды - перил.  (периодичность 1 раз в 3 месяца, 4 раза/в год)                                                                                                                                         </t>
  </si>
  <si>
    <t>1.12.</t>
  </si>
  <si>
    <t>Уборка мусора и грязи с кровли (1 раз в год)</t>
  </si>
  <si>
    <t>1.13.</t>
  </si>
  <si>
    <r>
      <t>Уборка мусора с чердаков</t>
    </r>
    <r>
      <rPr>
        <b/>
        <sz val="10"/>
        <rFont val="Arial Cyr"/>
        <charset val="204"/>
      </rPr>
      <t xml:space="preserve"> </t>
    </r>
  </si>
  <si>
    <t>1.14.</t>
  </si>
  <si>
    <t>Уборка мусора с подвалов</t>
  </si>
  <si>
    <t xml:space="preserve">Обеспечение санитарного состояния придомовой территории </t>
  </si>
  <si>
    <t>2.1.</t>
  </si>
  <si>
    <t>Подметание свежевыпавшего снега с территорий толщиной до 2 см, сгребание снега в валы или кучи (ч/з день,  62 раза/в год), с 01.11 по 31.03</t>
  </si>
  <si>
    <t>2.2.</t>
  </si>
  <si>
    <t>Траспортировка песка от места складирования до места посыпки (1 раз в день, 30 раз/в год, во время гололеда)</t>
  </si>
  <si>
    <t>2.3.</t>
  </si>
  <si>
    <t>Ликвидация наледи методом посыпки территории песком (1 раз в день, 30 раз/в год, во время гололеда)</t>
  </si>
  <si>
    <t>2.4.</t>
  </si>
  <si>
    <t>Сдвигание свежевыпавшего снега толщиной слоя более 2 см (1 раз в день,  62 раза/в год, в дни снегопада)</t>
  </si>
  <si>
    <t>2.5.</t>
  </si>
  <si>
    <t>Очистка контейнерной площадки в холодный период от снега и наледи (2 раза в день, 125 раз/в год), с 01.11 по 31.03</t>
  </si>
  <si>
    <t>2.6.</t>
  </si>
  <si>
    <t xml:space="preserve">Подметание территории в дни без снегопада                                                         </t>
  </si>
  <si>
    <t>2.7.</t>
  </si>
  <si>
    <t>Уборка газонов и придомовой территории от мусора (1 раз в 2 дня,  90 раз/в год), с 01.04 по 31.10</t>
  </si>
  <si>
    <t>2.8.</t>
  </si>
  <si>
    <t>Уборка контейнерных площадок от мусора (2 раза в день, 608 раз/в год)</t>
  </si>
  <si>
    <t>2.9.</t>
  </si>
  <si>
    <t>Вырезка сухих сучьев</t>
  </si>
  <si>
    <t>2.10.</t>
  </si>
  <si>
    <t xml:space="preserve">Полив газонов (2 раза в неделю, 16 раз/в год), с 15.06 по 15.08                                  </t>
  </si>
  <si>
    <t>2.11.</t>
  </si>
  <si>
    <t>Очистка урн от мусора (1 раз в день, 180 раз/в год), с 01.04 по 31.10</t>
  </si>
  <si>
    <t>2.12.</t>
  </si>
  <si>
    <t>Подметание территории (через день,  90 раз/в год ), с 01.04 по 31.10</t>
  </si>
  <si>
    <t>2.13.</t>
  </si>
  <si>
    <t>Покос травы (1 раз в год)</t>
  </si>
  <si>
    <t>Вывоз твердых бытовых отходов и крупногабаритного мусора</t>
  </si>
  <si>
    <t>Техобслуживание  конструктивных частей жилого дома</t>
  </si>
  <si>
    <t>Укрепление защитной решетки водоприемной воронки</t>
  </si>
  <si>
    <t>Прочистка водоприемной воронки внутреннего водостока</t>
  </si>
  <si>
    <t>Утепление  вентиляционных каналов</t>
  </si>
  <si>
    <t>Прочистка вентиляционных каналов</t>
  </si>
  <si>
    <t>Проверка исправности канализационных вытяжек</t>
  </si>
  <si>
    <t>Проверка наличии тяги в вентиляционных каналах</t>
  </si>
  <si>
    <t>Техническое обслуживание внутренних систем ТВС, ГВС, ХВС и канализации</t>
  </si>
  <si>
    <t>6.1.</t>
  </si>
  <si>
    <t>Центральное отопление</t>
  </si>
  <si>
    <t>6.1.1.</t>
  </si>
  <si>
    <t>Испытание трубопроводов системы центрального отопления</t>
  </si>
  <si>
    <t>6.1.1.1.</t>
  </si>
  <si>
    <t>Первое рабочее испытание отдельных частей системы отопления</t>
  </si>
  <si>
    <t>6.1.1.2.</t>
  </si>
  <si>
    <t>Рабочая проверка системы в целом</t>
  </si>
  <si>
    <t>6.1.1.3.</t>
  </si>
  <si>
    <t>Окончательная проверка при сдаче системы</t>
  </si>
  <si>
    <t>6.1.2.</t>
  </si>
  <si>
    <r>
      <t xml:space="preserve">Ликвидация воздушных пробок в системе отопления </t>
    </r>
    <r>
      <rPr>
        <b/>
        <sz val="10"/>
        <rFont val="Arial"/>
        <family val="2"/>
        <charset val="204"/>
      </rPr>
      <t>в стояке</t>
    </r>
  </si>
  <si>
    <t>6.1.3.</t>
  </si>
  <si>
    <r>
      <t xml:space="preserve">Ликвидация воздушных пробок в системе отопления </t>
    </r>
    <r>
      <rPr>
        <b/>
        <sz val="10"/>
        <rFont val="Arial"/>
        <family val="2"/>
        <charset val="204"/>
      </rPr>
      <t xml:space="preserve">в радиатор. блоке </t>
    </r>
  </si>
  <si>
    <t>6.1.4.</t>
  </si>
  <si>
    <t>Промывка трубопр-в системы центрального отопления</t>
  </si>
  <si>
    <t>6.1.5.</t>
  </si>
  <si>
    <t>Уплотнение сгонов с применением льняной пряди</t>
  </si>
  <si>
    <t>6.1.6.</t>
  </si>
  <si>
    <t>Осмотр системы центрального отопления</t>
  </si>
  <si>
    <t>6.1.6.1.</t>
  </si>
  <si>
    <t>внутриквартирные устройства</t>
  </si>
  <si>
    <t>6.1.6.2.</t>
  </si>
  <si>
    <t>устройства в подвальных помещениях</t>
  </si>
  <si>
    <t>6.2.</t>
  </si>
  <si>
    <t>Водопровод, канализация и горячее водоснабжение</t>
  </si>
  <si>
    <t>6.2.1.</t>
  </si>
  <si>
    <t xml:space="preserve">Осмотр водопровода, канализации и горячего водоснабжения </t>
  </si>
  <si>
    <t>6.2.2.</t>
  </si>
  <si>
    <t xml:space="preserve">Промывка трубопроводов системы ГВС и ХВС </t>
  </si>
  <si>
    <t>6.2.3.</t>
  </si>
  <si>
    <t xml:space="preserve">Подчеканка раструбов канализационных труб </t>
  </si>
  <si>
    <t>6.2.4.</t>
  </si>
  <si>
    <t xml:space="preserve">Устранение засоров внутренних канализационных трубопроводов </t>
  </si>
  <si>
    <t>Техническое обслуживание внутридомовых магистральных сетей</t>
  </si>
  <si>
    <t xml:space="preserve">  Аварийно-диспетчерское ослуживание: ликвидация аварийных ситуаций в местах общего пользования, с выполнением аварийно-востановительных работ и ликвидация аварийных ситуаций у собственника без выполнения ремонта</t>
  </si>
  <si>
    <t>Дератизация</t>
  </si>
  <si>
    <t>Техническое обслуживание внутренней системы электроснабжения и электротехнических устройств.</t>
  </si>
  <si>
    <t>Жилищно-эксплуатационное обслуживание ( в т.ч. паспортный стол)</t>
  </si>
  <si>
    <t>ИТОГО по содержанию жилищного фонда</t>
  </si>
  <si>
    <t>Текущий ремонт жилищного фонда</t>
  </si>
  <si>
    <t>Текущий ремонт фундаментов</t>
  </si>
  <si>
    <t>12.1.</t>
  </si>
  <si>
    <t>Восстановление поврежденных участков отмосток и входов в подвал</t>
  </si>
  <si>
    <t>12.1.1.</t>
  </si>
  <si>
    <t xml:space="preserve">Восстановление поврежденных участков отмосток </t>
  </si>
  <si>
    <t>Текущий ремонт стен и фасадов</t>
  </si>
  <si>
    <t>13.1.</t>
  </si>
  <si>
    <t>Ремонт и окраска фасадов</t>
  </si>
  <si>
    <t>13.1.1.</t>
  </si>
  <si>
    <t>Закладка кирпичем слуховых окон в цоколе</t>
  </si>
  <si>
    <t>13.1.2.</t>
  </si>
  <si>
    <t>Устранение разрушений стыковых соединений, фактурных слоев в цокольных частей зданий</t>
  </si>
  <si>
    <t>13.1.3.</t>
  </si>
  <si>
    <t>Окраска цоколя</t>
  </si>
  <si>
    <t>13.1.4.</t>
  </si>
  <si>
    <t>Ремонт входных групп</t>
  </si>
  <si>
    <t>13.1.5.</t>
  </si>
  <si>
    <t>Устройство козырька из проф.листа</t>
  </si>
  <si>
    <t>Текущий ремонт крыш</t>
  </si>
  <si>
    <t>14.2.</t>
  </si>
  <si>
    <t>Ремонт кровли, гидроизоляции, утепления и вентиляции</t>
  </si>
  <si>
    <t>14.2.1.</t>
  </si>
  <si>
    <t xml:space="preserve">Смена мягкой кровли в два слоя отдельными местами </t>
  </si>
  <si>
    <t>14.2.2.</t>
  </si>
  <si>
    <t xml:space="preserve">Постановка заплат на покрытия из мягкой кровли </t>
  </si>
  <si>
    <t>14.2.3.</t>
  </si>
  <si>
    <t>Замена канализационных вытяжных труб (на чердаке и кровли)</t>
  </si>
  <si>
    <t>15.</t>
  </si>
  <si>
    <t>Текущий ремонт оконных и дверных заполнений</t>
  </si>
  <si>
    <t>15.1.</t>
  </si>
  <si>
    <t xml:space="preserve">Ремонт оконных переплетов </t>
  </si>
  <si>
    <t>15.2.</t>
  </si>
  <si>
    <t xml:space="preserve">Ремонт дверных полотен </t>
  </si>
  <si>
    <t>15.3.</t>
  </si>
  <si>
    <t xml:space="preserve">Смена оконных и дверных петель </t>
  </si>
  <si>
    <t>15.4.</t>
  </si>
  <si>
    <t xml:space="preserve">Смена наличников оконных и дверных проемов </t>
  </si>
  <si>
    <t>15.5.</t>
  </si>
  <si>
    <t xml:space="preserve">Нашивка брусков на дверные коробки </t>
  </si>
  <si>
    <t>15.6.</t>
  </si>
  <si>
    <t xml:space="preserve">Укрепление оконных и дверных наличников </t>
  </si>
  <si>
    <t>15.7.</t>
  </si>
  <si>
    <t>Установка пружин на входные двери</t>
  </si>
  <si>
    <t>15.8.</t>
  </si>
  <si>
    <t>Установка ручек на входные двери</t>
  </si>
  <si>
    <t>15.9.</t>
  </si>
  <si>
    <t>Уплотнение входных металлических дверей войлоком</t>
  </si>
  <si>
    <t>15.10.</t>
  </si>
  <si>
    <t>Остекление оконных блоков мест общего пользования</t>
  </si>
  <si>
    <t>15.11.</t>
  </si>
  <si>
    <t>Окраска подъездных дверей, лавочек, урн, контейнеров</t>
  </si>
  <si>
    <t>16.</t>
  </si>
  <si>
    <t>Текущий ремонт лестниц, крылец (зонты-козырьки) над входами в подъезды.</t>
  </si>
  <si>
    <t>16.1.</t>
  </si>
  <si>
    <t xml:space="preserve">Смена отдельных частей поручней </t>
  </si>
  <si>
    <t>16.2.</t>
  </si>
  <si>
    <t xml:space="preserve">Изготовление поручня </t>
  </si>
  <si>
    <t>17.</t>
  </si>
  <si>
    <t>Текущий ремонт полов</t>
  </si>
  <si>
    <t>17.1.</t>
  </si>
  <si>
    <t xml:space="preserve">Заделка выбоин в цементных полах </t>
  </si>
  <si>
    <t>Внешнее благоустройство</t>
  </si>
  <si>
    <t>18.1.</t>
  </si>
  <si>
    <t>Ремонт и восстановление разрушенных участков тротуаров, проездов, дорожек</t>
  </si>
  <si>
    <t>18.1.1.</t>
  </si>
  <si>
    <t xml:space="preserve">Текущий ремонт лавочек </t>
  </si>
  <si>
    <t>18.1.2.</t>
  </si>
  <si>
    <t>Текущий ремонт и урн</t>
  </si>
  <si>
    <t>18.1.3.</t>
  </si>
  <si>
    <t>Устройства ограждения контейнерной площадки из кирпича</t>
  </si>
  <si>
    <t>18.2.</t>
  </si>
  <si>
    <t>Озеленение придомовой территории</t>
  </si>
  <si>
    <t>18.2.1.</t>
  </si>
  <si>
    <t>Замена деревьев и кустов</t>
  </si>
  <si>
    <t>ИТОГО по текущему ремонту конструктивных частей жилого дома и объектов внешнего благоустройства</t>
  </si>
  <si>
    <t>19.</t>
  </si>
  <si>
    <t>Текущий ремонт внутренней системы ТВС, ХВС, ГВС и канализации</t>
  </si>
  <si>
    <t>19.1.</t>
  </si>
  <si>
    <t>Замена вентилей диам. 15 мм.</t>
  </si>
  <si>
    <t>19.2.</t>
  </si>
  <si>
    <t>Замена вентилей диам. 20 мм.</t>
  </si>
  <si>
    <t>19.3.</t>
  </si>
  <si>
    <t>Замена вентилей диам. 25 мм.</t>
  </si>
  <si>
    <t>19.4.</t>
  </si>
  <si>
    <t>Замена вентилей диам. 32 мм.</t>
  </si>
  <si>
    <t>19.5.</t>
  </si>
  <si>
    <t xml:space="preserve">Замена участков трубопроводов из стальных электросварных труб диам.15 мм. </t>
  </si>
  <si>
    <t>19.6.</t>
  </si>
  <si>
    <t>Замена участков трубопроводов из стальных электросварных труб диам.20 мм.</t>
  </si>
  <si>
    <t>19.7.</t>
  </si>
  <si>
    <t>Замена участков трубопроводов из стальных электросварных труб диам.25 мм.</t>
  </si>
  <si>
    <t>19.8.</t>
  </si>
  <si>
    <t>Замена участков трубопроводов из стальных электросварных труб.32 мм.</t>
  </si>
  <si>
    <t>19.9.</t>
  </si>
  <si>
    <t>Замена участков трубопроводов из стальных электросварных труб диам.57 мм.</t>
  </si>
  <si>
    <t>19.10.</t>
  </si>
  <si>
    <t xml:space="preserve">Смена отдельных участков внутренних канализационных выпусков диам. 50мм </t>
  </si>
  <si>
    <t>19.11.</t>
  </si>
  <si>
    <t xml:space="preserve">Смена отдельных участков внутренних канализационных выпусков диам. 100мм </t>
  </si>
  <si>
    <t>19.12.</t>
  </si>
  <si>
    <t xml:space="preserve">Переборка секций радиаторного блока </t>
  </si>
  <si>
    <t>19.13.</t>
  </si>
  <si>
    <t>Смена запорной арматуры Ду=50мм</t>
  </si>
  <si>
    <t>19.14.</t>
  </si>
  <si>
    <t xml:space="preserve">Заделка стыков соединений стояков внутренних водостоков </t>
  </si>
  <si>
    <t>19.15.</t>
  </si>
  <si>
    <t>Регулировка системы отопления</t>
  </si>
  <si>
    <t>20.</t>
  </si>
  <si>
    <t xml:space="preserve">Текущий ремонт внутридомовых сетей  ХВС и ГВС. (6 подъездов)                                       </t>
  </si>
  <si>
    <t>ИТОГО по текущему ремонту внутридомовых сетей ТВС, ГВС, ХВС и канализации</t>
  </si>
  <si>
    <t>ИТОГО по текущему ремонту жилищного фонда</t>
  </si>
  <si>
    <t>ВСЕГО по техническому обслуживанию и текущему ремонту жилищного фонда</t>
  </si>
  <si>
    <t>жилого дома № _____ по улице __________________ р.п.Мошково</t>
  </si>
  <si>
    <t xml:space="preserve"> по техническому  обслуживанию, санитарному содержанию и текущему ремонту.</t>
  </si>
  <si>
    <t>Перечень  выполненых работ в июне месяце 2011 года по техническому</t>
  </si>
  <si>
    <t>4.</t>
  </si>
  <si>
    <t>4.1.</t>
  </si>
  <si>
    <t>4.2.</t>
  </si>
  <si>
    <t>4.3.</t>
  </si>
  <si>
    <t>4.4.</t>
  </si>
  <si>
    <t>4.5.</t>
  </si>
  <si>
    <t>4.6.</t>
  </si>
  <si>
    <t>отметка о выполнении</t>
  </si>
  <si>
    <t>Техническое обслуживание жилого дома</t>
  </si>
  <si>
    <t>АКТ ПРИЕМКИ</t>
  </si>
  <si>
    <t>испонитель</t>
  </si>
  <si>
    <t>количество часов</t>
  </si>
  <si>
    <t>СДАЛ                                              Мастер  ООО "МУК"</t>
  </si>
  <si>
    <t xml:space="preserve">ПРИНЯЛ                                          Старший по дому </t>
  </si>
  <si>
    <r>
      <t>Уборка мусора с чердаков</t>
    </r>
    <r>
      <rPr>
        <b/>
        <sz val="11"/>
        <color rgb="FFFF0000"/>
        <rFont val="Arial Cyr"/>
        <charset val="204"/>
      </rPr>
      <t xml:space="preserve"> </t>
    </r>
  </si>
  <si>
    <r>
      <t xml:space="preserve">Ликвидация воздушных пробок в системе отопления </t>
    </r>
    <r>
      <rPr>
        <b/>
        <sz val="11"/>
        <color rgb="FFFF0000"/>
        <rFont val="Arial"/>
        <family val="2"/>
        <charset val="204"/>
      </rPr>
      <t>в стояке</t>
    </r>
  </si>
  <si>
    <r>
      <t xml:space="preserve">Ликвидация воздушных пробок в системе отопления </t>
    </r>
    <r>
      <rPr>
        <b/>
        <sz val="11"/>
        <color rgb="FFFF0000"/>
        <rFont val="Arial"/>
        <family val="2"/>
        <charset val="204"/>
      </rPr>
      <t xml:space="preserve">в радиатор. блоке </t>
    </r>
  </si>
  <si>
    <t>исполнитель</t>
  </si>
  <si>
    <t>выполненных работ по управлению и обслуживанию ООО "МУК"  жилого дома   № 2</t>
  </si>
  <si>
    <t>выполненных работ по управлению и обслуживанию ООО "МУК"  жилого дома   № 1</t>
  </si>
  <si>
    <t>Ерюков</t>
  </si>
  <si>
    <t>выполненных работ по управлению и обслуживанию ООО "МУК"  жилого дома   № 4а</t>
  </si>
  <si>
    <t>выполненных работ по управлению и обслуживанию ООО "МУК"  жилого дома   № 2а</t>
  </si>
  <si>
    <t>выполненных работ по управлению и обслуживанию ООО "МУК"  жилого дома   № 3а</t>
  </si>
  <si>
    <t>выполненных работ по управлению и обслуживанию ООО "МУК"  жилого дома   № 5а</t>
  </si>
  <si>
    <t>08.09.ревизия эл.щита в подъезде</t>
  </si>
  <si>
    <t>выполненных работ по управлению и обслуживанию ООО "МУК"  жилого дома   № 4б</t>
  </si>
  <si>
    <t>выполненных работ по управлению и обслуживанию ООО "МУК"  жилого дома   № 3б</t>
  </si>
  <si>
    <t>выполненных работ по управлению и обслуживанию ООО "МУК"  жилого дома   № 30 а</t>
  </si>
  <si>
    <t>выполненных работ по управлению и обслуживанию ООО "МУК"  жилого дома   № 28а</t>
  </si>
  <si>
    <t>27.09. кв 13 по заявке осмотрено</t>
  </si>
  <si>
    <t>28.09.замена эл.лампочек (кв15)</t>
  </si>
  <si>
    <t>Ерлин</t>
  </si>
  <si>
    <t xml:space="preserve">01.09.Уборка мусора и грязи с кровли </t>
  </si>
  <si>
    <t xml:space="preserve">Уборка контейнерных площадок от мусора </t>
  </si>
  <si>
    <t>Сауков</t>
  </si>
  <si>
    <t>Конюшенко</t>
  </si>
  <si>
    <t>06.09.подготовка теплосетей для промывки системы отопления</t>
  </si>
  <si>
    <t>15.09. восстановление теплового узла у дома</t>
  </si>
  <si>
    <t>Христофоров</t>
  </si>
  <si>
    <t>Ерлин, Христофоров</t>
  </si>
  <si>
    <t>21.09.ремонт коньков на крыше</t>
  </si>
  <si>
    <t>Конюшенко, Музыченко</t>
  </si>
  <si>
    <t>Сауков, Музыченко</t>
  </si>
  <si>
    <t>Христофоров, Музыченко</t>
  </si>
  <si>
    <t>Музыченко</t>
  </si>
  <si>
    <t>Крупич</t>
  </si>
  <si>
    <t>Сауков, Крупич</t>
  </si>
  <si>
    <t>Конюшенко, Крупич</t>
  </si>
  <si>
    <t>Ерлин, Овсянников</t>
  </si>
  <si>
    <t>Конюшенко, Музыченко, Овсянников</t>
  </si>
  <si>
    <t>Крупич, Овсянников</t>
  </si>
  <si>
    <t>Овсянников</t>
  </si>
  <si>
    <t>Музыченко, Овсянников</t>
  </si>
  <si>
    <t>Денисов</t>
  </si>
  <si>
    <t>30.09.запуск отопления</t>
  </si>
  <si>
    <t>выполненных работ по управлению и обслуживанию ООО "МУК"  жилого дома   №  15</t>
  </si>
  <si>
    <t>10                6</t>
  </si>
  <si>
    <t>выезд по заявке                   выполнено заявок</t>
  </si>
  <si>
    <t>Вывоз жидких бытовых отходов</t>
  </si>
  <si>
    <t xml:space="preserve">Жилищно-эксплуатационное обслуживание </t>
  </si>
  <si>
    <t>Денисов, Конюшенко</t>
  </si>
  <si>
    <t>Конюшенко, Овсянников</t>
  </si>
  <si>
    <t>09.11. Утепление отопления на чердаке, закрытие люков</t>
  </si>
  <si>
    <t>Конюшенко, Овсянников, Христофоров</t>
  </si>
  <si>
    <t>Денисов, Христофоров</t>
  </si>
  <si>
    <t>15.11.Закрытие задвижек теплоснабжения на дома всвязи с аврией на центр.сет</t>
  </si>
  <si>
    <t>15.11.Открытие задвижек на дома после устранения аварии</t>
  </si>
  <si>
    <t>выполненных работ по управлению и обслуживанию ООО "МУК"  жилого дома   № 19а</t>
  </si>
  <si>
    <t>Ерлин, Денисов</t>
  </si>
  <si>
    <t>18.11.Осмотр внутридомовых инженерных сетей, осмотр смотровых колодцев</t>
  </si>
  <si>
    <t>Крупич, Христофоров, Денисов, Музыченко</t>
  </si>
  <si>
    <t>21.11.Установка светильника "кобра" наружнего освещения, Осмотр освещения подъездов</t>
  </si>
  <si>
    <t>Музыченко, Сауков</t>
  </si>
  <si>
    <t>Музыченко, Ерлин</t>
  </si>
  <si>
    <t>21.11.Осмотр системы отопления, канализации, водоснабжения</t>
  </si>
  <si>
    <t>25.11.Осмотр системы отопления</t>
  </si>
  <si>
    <t>25.11.Осмотр канализационных сетей, смотровых колодцев</t>
  </si>
  <si>
    <t>Сауков, Музыченко, Ерлин</t>
  </si>
  <si>
    <t>сумма (руб)</t>
  </si>
  <si>
    <t>29.11.Осмотр промежуточных колодцев, осмотр подвала</t>
  </si>
  <si>
    <t>29.11.Пробивка канализации с промежуточного до основной ямы, осмотр подвала</t>
  </si>
  <si>
    <t>28.11.Заявка 3062 кв13. Осмотр, выгребная полная, промежуточные полные</t>
  </si>
  <si>
    <t>28.11 Осмотр, выгребная полная, промежуточные полные (повторно)</t>
  </si>
  <si>
    <t>28.11.Заявка 3071.Осмотр течи отопления. Офрмлена заявка на материалы на 29.11.</t>
  </si>
  <si>
    <t>Ставицкий, Сауков</t>
  </si>
  <si>
    <t>29.11. Заявка 3076 кв4. Течь отопления, Остановка отопления дома, устранение течи на отопление, запуск дома.</t>
  </si>
  <si>
    <t>Ставицкий, Сауков,Музыченко</t>
  </si>
  <si>
    <t>Денисов, Ерлин</t>
  </si>
  <si>
    <t>итого</t>
  </si>
  <si>
    <t>02.12.Осмотр подвальных помещений, осмотр канализационных колодцев</t>
  </si>
  <si>
    <t>02.12.Осмотр канализационных колодцев</t>
  </si>
  <si>
    <t xml:space="preserve"> по улице  7 км   в декабре месяце 2011 года</t>
  </si>
  <si>
    <t xml:space="preserve">05.12.Ревизия элщитов, замена </t>
  </si>
  <si>
    <t>08.12.Подключение кобры освещения</t>
  </si>
  <si>
    <t>Конюшенко, Ерлин</t>
  </si>
  <si>
    <t>09.12.Утепление теплотрассы</t>
  </si>
  <si>
    <t>16.12.Осмотр подвальных помещений, канализации</t>
  </si>
  <si>
    <t>16.12.Заявка 3236. Нет тепла, осмотр задвижек теплотрассы по подвалу, перепуск</t>
  </si>
  <si>
    <t>16.12.Ревизия эл.щитов по подъездам, замена  лампочек</t>
  </si>
  <si>
    <t>16.12.Ревизия эл.щитов по подъездам, замена лампочек</t>
  </si>
  <si>
    <t>16.12.Осмотр  эл.щитов по подъездам</t>
  </si>
  <si>
    <t>15.12.Заявка 3234, 3218. Осмотр канал.труб по замене, осмотр водопровода, ремонт люков на крыше</t>
  </si>
  <si>
    <t>Ерлин, Конюшенко</t>
  </si>
  <si>
    <t>Ерлин, Конюшенко, Музыченко</t>
  </si>
  <si>
    <t>Ерлин, Конюшекнко, Музыченко</t>
  </si>
  <si>
    <t>19.12.Заявка 3250 кв 5. Осмотр, отгорел кабель на водонапорную башню</t>
  </si>
  <si>
    <t xml:space="preserve">      </t>
  </si>
  <si>
    <t>22.12.Заявка 3284. кв4. Искрит выключатель. Замена выключателя, замена лампочек</t>
  </si>
  <si>
    <t>22.12.Заявка 1780 кв1,5 . Демонтаж стояков канализации, прочистка</t>
  </si>
  <si>
    <t>Ерлин, Овсянников, Конюшенко, Музыченко</t>
  </si>
  <si>
    <r>
      <t xml:space="preserve">Ликвидация воздушных пробок в системе отопления </t>
    </r>
    <r>
      <rPr>
        <b/>
        <sz val="11"/>
        <color rgb="FFC00000"/>
        <rFont val="Arial"/>
        <family val="2"/>
        <charset val="204"/>
      </rPr>
      <t xml:space="preserve">в радиатор. блоке </t>
    </r>
  </si>
  <si>
    <t>10.01.Заявка 3418, кв 18,7.Нет воды.прочистка водопроводного стояка.Течь воды</t>
  </si>
  <si>
    <t>Сауков, Денисов</t>
  </si>
  <si>
    <t>11.01. Установка брусков под двери</t>
  </si>
  <si>
    <t>12.01.Установка дверных блоков</t>
  </si>
  <si>
    <t xml:space="preserve"> по улице Строительной  в  январе месяце 2012 года</t>
  </si>
  <si>
    <t>13.01.Осмотр канализационных колодцев</t>
  </si>
  <si>
    <t>13.01.Заявка 3218, кв13. Нет воды. Продувка труб.</t>
  </si>
  <si>
    <t>Музыченко, Овсянников, Ерлин</t>
  </si>
  <si>
    <t>Конюшенко, музыченко</t>
  </si>
  <si>
    <t>Ерлин, Христофоров, Овсянников</t>
  </si>
  <si>
    <t>Денисов, Ерлин, Овсянников</t>
  </si>
  <si>
    <t>Ерлин, Музыченко</t>
  </si>
  <si>
    <t>20.01.Заявка 3499,3516 (кв18,21), холодные стоки на кухне, перепуск стяков</t>
  </si>
  <si>
    <t>24.01.Забита канализация. Пробивка канализации</t>
  </si>
  <si>
    <t>Сауков, Конюшенко, Музыченко</t>
  </si>
  <si>
    <t xml:space="preserve">30.01.Плановые: крепление труб отопления </t>
  </si>
  <si>
    <t>31.01. Заявка 3607 кв 7. Нет воды. Осмотр нет давления воды.</t>
  </si>
  <si>
    <t>30.08.Осмотр подвального помещения , осмотр промежуточных колодцев</t>
  </si>
  <si>
    <t>Крупич, Сауков</t>
  </si>
  <si>
    <t>Музыченко, Конюшенко</t>
  </si>
  <si>
    <t>Крупич, Музыченко</t>
  </si>
  <si>
    <t xml:space="preserve">Отработано часов </t>
  </si>
  <si>
    <t>Ерлин, Конюшенко, Денисов</t>
  </si>
  <si>
    <t>Денисов, Христофоров, Овсянников</t>
  </si>
  <si>
    <t>06.04.Осмотр канализации в жилых домах</t>
  </si>
  <si>
    <t>13.04.Плановый осмотр инженерных сетей (канализация, отопление, водоснабжение, электроснабжение)</t>
  </si>
  <si>
    <t>Угрюмов, Овсянников, Конюшенко, Музыченко, Сауков, Ерюков</t>
  </si>
  <si>
    <t>20.04.осмотр техподвалов на предмет протекания, осмотр сетей канализации</t>
  </si>
  <si>
    <t>Сауков, Конюшекнко, Овсяников, Угрюмов, Ерлин</t>
  </si>
  <si>
    <t>Денисов, Овсянников</t>
  </si>
  <si>
    <t>Конюшенко, Ерлин, Денисов</t>
  </si>
  <si>
    <t>СВОДНЫЙ АКТ ПРИЕМКИ</t>
  </si>
  <si>
    <t>Конюшенко, ерлин</t>
  </si>
  <si>
    <t>Матузов, Ерлин</t>
  </si>
  <si>
    <t>Конюшенко, Музыченко, Сауков</t>
  </si>
  <si>
    <t>Ерлин, Овсянников, Денисов</t>
  </si>
  <si>
    <t>Ерлин, Овсянников, Музыченко</t>
  </si>
  <si>
    <t>Крупич, Ерлин</t>
  </si>
  <si>
    <t>14.05. Подготовка дома к остановке подачи отопления</t>
  </si>
  <si>
    <t>Конюшенко, Денисов</t>
  </si>
  <si>
    <t>Кривенчук</t>
  </si>
  <si>
    <t>08.06.Заявка.Течь воды с вентиляции.Осмотр на чердаке, хозяев дома нет</t>
  </si>
  <si>
    <t>21.06.Заявка кв.6.Осмотр течи крыши, запенено</t>
  </si>
  <si>
    <t>23.06.Закрытие кранов отопления на дом</t>
  </si>
  <si>
    <t>30.06.Осмотр канализационных сетей</t>
  </si>
  <si>
    <t>30.06.Заявка, замена патрона, выключателя, эл.лампочек</t>
  </si>
  <si>
    <t xml:space="preserve">июль 2011Техническое обслуживание внутренней системы электроснабжения </t>
  </si>
  <si>
    <t>19.08.Погрузка и разгрузка кирпича на крышу дома</t>
  </si>
  <si>
    <t>24.08.Ремонт вытяжных колодцев</t>
  </si>
  <si>
    <t>Денисов, Христофоров, Овсяников</t>
  </si>
  <si>
    <t>10.08.Осмотр, подготовка к установке насоса</t>
  </si>
  <si>
    <t>Крупич,  Сауков</t>
  </si>
  <si>
    <t>12.08.Установка конвекторов в подъездах</t>
  </si>
  <si>
    <t>30.08.Подготовка к установке насоса на отопление на дом</t>
  </si>
  <si>
    <t>26.08. Заявка 1966. Устранение течи, замена крана</t>
  </si>
  <si>
    <t>Конюшенко, Музыченко, Овсянников, Ерюков</t>
  </si>
  <si>
    <t>31.08.Заявка, устранение течи на стояке хвс</t>
  </si>
  <si>
    <t>11.08.Подключение сварочного аппарата</t>
  </si>
  <si>
    <t>24.08. Освещение чердачного помещения, отключение</t>
  </si>
  <si>
    <t>29.08.Подключение и отключение сварочного аппарата</t>
  </si>
  <si>
    <t xml:space="preserve">31.08.Замер расстояния от щитовой до насоса по крыше и по стене дома </t>
  </si>
  <si>
    <t>10.10. заявка кв.12, прочистка гибкой подводки</t>
  </si>
  <si>
    <t>14.10. заявка, пробивка общей канализации</t>
  </si>
  <si>
    <t>15.12.Уборка снега от теплового колодца, устранение течи, осмотр теплотрассы</t>
  </si>
  <si>
    <t>16.02.Утепление входных дверей</t>
  </si>
  <si>
    <t>Денисов, Ерлин, Христофоров</t>
  </si>
  <si>
    <t>20.02.Уборка сосулек с крыши</t>
  </si>
  <si>
    <t>Овсянников, музыченко</t>
  </si>
  <si>
    <t>Христофоров, Денисов, Овсянников</t>
  </si>
  <si>
    <t>15.02. Заявка 37 кв 6. нет напряжения в розетках. Требуется замена розеток</t>
  </si>
  <si>
    <t>16.02.Заявка 45, кв 24. Нет света в подъезде, замена 4х лампочек</t>
  </si>
  <si>
    <t>20.04. Заявка 42. Снятие размеров тамбуров</t>
  </si>
  <si>
    <t>20.04. осмотр  эл.щитов</t>
  </si>
  <si>
    <t>25.04. Заявка 71 кв6. Замена ламп в подъезде</t>
  </si>
  <si>
    <t>17.05. Заявка 195 кв 9. Засор канализации в подъезде, пробивка троссом из дома в колодец</t>
  </si>
  <si>
    <t>19.05.Заявка 210 кв 10. В подъезде стоит вода, пробивка троссом выпуска канализации из дома в колодец</t>
  </si>
  <si>
    <t>Сауков, Конюшенко</t>
  </si>
  <si>
    <t>Ерлин, Матузов</t>
  </si>
  <si>
    <t>Денисов, Ерлин, Музыченко</t>
  </si>
  <si>
    <t>Конюшенко, Овсянников, Ерлин</t>
  </si>
  <si>
    <t>24.06.Осмотр подвала</t>
  </si>
  <si>
    <t>13.03.Уборка сосулек с крыши</t>
  </si>
  <si>
    <t>Сауков, Крупич, Музыченко</t>
  </si>
  <si>
    <t xml:space="preserve">09.04. Плановый осмотр инженрных сетей </t>
  </si>
  <si>
    <t>16.04. Открывание продухов подвалов</t>
  </si>
  <si>
    <t>Музыченко, Ерюков</t>
  </si>
  <si>
    <t>15.11.Заявка 2947.Осмотр сетей отопления на утечки</t>
  </si>
  <si>
    <t>01.02.Заявка 3612.кв 10. Холодные батареи, перепуск стояков</t>
  </si>
  <si>
    <t>02.02.Заявка 3626 кв.21. Холодные батарей, перепуск стояков отопления</t>
  </si>
  <si>
    <t>02.03.Заявка 123, кв 24. Осмотр стояков, составление акта</t>
  </si>
  <si>
    <t>05.03. кв 24. Нет тепла на кухне, переварка стояка отопления</t>
  </si>
  <si>
    <t>Ерлин, Кривенчук</t>
  </si>
  <si>
    <t>03.04.Заявка 283 кв 28. Капает вода с потолка. Обследовано: на потолке в прихожей площадью 0,5м2, в спальне 0,3м2, причина  таяние куржака в венткоробах.</t>
  </si>
  <si>
    <t xml:space="preserve">03.04.Заявка 307 кв 10. Разрушается балконная плита в кв13. Обследовано. Балкон разрушается, выпадают фрагменты плиты, выдано предписание кв 13, не пользоваться балконом. </t>
  </si>
  <si>
    <t>03.04. Заявка 283. Журчит вода в батареях. Замена кранов на стояках отопления запланирована на летний период</t>
  </si>
  <si>
    <t>Сауков, Музыченко, Крупич</t>
  </si>
  <si>
    <t xml:space="preserve">02.02.Заявка 3619 (3 подъезд), 3629 (кв71) замена эл.лампочек, </t>
  </si>
  <si>
    <t xml:space="preserve"> по улице  7 км   с января  месяца  2011 года</t>
  </si>
  <si>
    <t>24.06.Заявка. Ремонт крышки выхода на крышу</t>
  </si>
  <si>
    <t>20.06.Заявка. Пробивка канализации</t>
  </si>
  <si>
    <t>Музыченко, Овсянников, Конюшенко</t>
  </si>
  <si>
    <t>21.06. Заявка кв 11. Пробивка кан.стояка общего</t>
  </si>
  <si>
    <t>28.06.Заявка кв 11.Пробивка канализации</t>
  </si>
  <si>
    <t>29.06.Заявка кв 8.Устранение течи крана от стояка</t>
  </si>
  <si>
    <t>15.06.замена лампочек</t>
  </si>
  <si>
    <t>24.06.Замена эл.лампочек, Ревизия эл.щитов</t>
  </si>
  <si>
    <t>27.06.Протяжка контактов в эл.щитах</t>
  </si>
  <si>
    <t>30.06.замена лампочек</t>
  </si>
  <si>
    <t>26.07..замена лампочек</t>
  </si>
  <si>
    <t>электромонтер</t>
  </si>
  <si>
    <t xml:space="preserve">04.08.Заявка 1761 кв11. Забита канализация в ванной, туалете, на кухне. прочистка </t>
  </si>
  <si>
    <t>Овсянников, Мезенцев, Конюшенко</t>
  </si>
  <si>
    <t>05.08.Заявка 1783, кв 18.Замена трубы отопления</t>
  </si>
  <si>
    <t>Крупич, Сауков, Овсянников</t>
  </si>
  <si>
    <t>08.08.Заявка 1807 кв 11. Прочистка центрального стояка</t>
  </si>
  <si>
    <t>15.08.Заявка 1858 кв 14.Осмотр, требуется замена комплектующих</t>
  </si>
  <si>
    <t>15.08.Заявка 1860 кв 11. Засор канализации, Прочистка</t>
  </si>
  <si>
    <t>29.08.Заявка 1986 кв 4.  Прочистка центральной канализации</t>
  </si>
  <si>
    <t>04.08.Заявка 1773 кв 11. Нет света в подъезде, осмотр, определение материалов</t>
  </si>
  <si>
    <t>05.08.Заявка 1781 кв11. Установка патронов 2шт., установка лампочек 5 шт.</t>
  </si>
  <si>
    <t>09.08.Заявка кв 13. Замена эллампочек, ревизия эл.щитов</t>
  </si>
  <si>
    <t>29.08.Заявка. Замена эл.лампочек</t>
  </si>
  <si>
    <t>31.08.Замена лампочек, осмотр крыши для установки кобры, замер длины кабеля</t>
  </si>
  <si>
    <t>22.09. устранение течи на регистрах кв1,13,14</t>
  </si>
  <si>
    <t>27.09. установка кранов на батарею отопления кв19</t>
  </si>
  <si>
    <t>29.09.замена лежака отопления, установка кранов на батарею в  квартире 15</t>
  </si>
  <si>
    <t>01.09.Осмотр сети канализации в подвале</t>
  </si>
  <si>
    <t>01.09. ревизия эл.щитов в подъездах</t>
  </si>
  <si>
    <t>05.09. ревизия щитов в подъездах, замена лампочек</t>
  </si>
  <si>
    <t>19.09. замена эл.лампочек в подъездах</t>
  </si>
  <si>
    <t>21.09. осмотр эл.щитов, замена эл.лампочек</t>
  </si>
  <si>
    <t>27.09. ревизия эл.щитов</t>
  </si>
  <si>
    <t>19.10.Уборка мусора с кровли, ремонт кровли бикростом</t>
  </si>
  <si>
    <t>12.10. по заявке кв.14 осмотр кранов на батарее отопления</t>
  </si>
  <si>
    <t>25.10.кв.12 Перегрупировка батареи-радиаторов, подключение на 26.10.</t>
  </si>
  <si>
    <t>26.10.кв.12 Сварочные работы по отоплению</t>
  </si>
  <si>
    <t>03.10. Подготовка и осмотр электрооборудования для подключения кобры</t>
  </si>
  <si>
    <t>19.10. Замена лампочек</t>
  </si>
  <si>
    <t>17.11.Заявка 2968 кв4.Течь трубы отопления в подъезде. Отключение системы отопления 2 раза, разбор и ремонт муфты соединения, запуск системы отопления.</t>
  </si>
  <si>
    <t>Христофоров , Крупич</t>
  </si>
  <si>
    <t>18.11.Заявка 2980 кв.12. Холодно. Осмотр системы отопления , перепуск стояка</t>
  </si>
  <si>
    <t>09.11.по заявке 2874 кв6. Замена эл.лампочек</t>
  </si>
  <si>
    <t>14.11. Заявка 2922 кв 12. Осмотр эл.щитов, установлен выключатель в подъезде</t>
  </si>
  <si>
    <t>16.11.Заявка 2995 кв12. Осмотр, устранение неисправностей после затопления квартиры</t>
  </si>
  <si>
    <t>17.11.Заявка 2970 кв12. Замена выключателя, устранение неисправностей после затопления</t>
  </si>
  <si>
    <t>17.11. Осмотр эл.щитов, протяжка контактов, замена ламп 4 шт, ревизия патрона</t>
  </si>
  <si>
    <t>15.12. ремонт люков на крыше</t>
  </si>
  <si>
    <t>15.12.Заявка 3234, 3218. Осмотр канал.труб по замене, осмотр водопровода,</t>
  </si>
  <si>
    <t>19.12.Заявка кв 4. Замена канализационного стояка, замена водопроводного стояка по подвалу</t>
  </si>
  <si>
    <t>Ерлин, Конюшенко, Музыченко, Сауков</t>
  </si>
  <si>
    <t>13.02.Заявка кв 13. Снятие батареи, установка кранов</t>
  </si>
  <si>
    <t>15.02.Заявка кв 7. хол.батареи, перепуск стояка</t>
  </si>
  <si>
    <t>21.02.Заявка. Нет тепла, составление актов кв 2</t>
  </si>
  <si>
    <t>Денисов, Ерлин, Ставицкий</t>
  </si>
  <si>
    <t>22.02. Заявка 80 кв 20,течь батареи, мзготовление и установка бандажа</t>
  </si>
  <si>
    <t>01.02.кв 7 нет воды. Осмотр 3-го этажа по воде</t>
  </si>
  <si>
    <t>03.02.Осмотр в подвале водопроводной трубы, составление акта на затопление</t>
  </si>
  <si>
    <t>06.02.заявка кв 7,1,2. Нет холодной воды. Замена водопроводной трубы по подвалу на полипропилен</t>
  </si>
  <si>
    <t>07.02. Заявка кв 7. Нет воды</t>
  </si>
  <si>
    <t>22.02.Заявка 74, кв 3. Течь канализации, прочистка канализации</t>
  </si>
  <si>
    <t>10.04.Заявка 363. кв 9. Течь трубы отопления. Остановка дома, слив воды из системы, демонтаж регистра, установка кранов д 20 -2 шт. Запуск дома</t>
  </si>
  <si>
    <t>Музыченко, Сауков, Ерлин</t>
  </si>
  <si>
    <t>13.04.Заявка кв 13. Течь батареи на кухне. Остановка дома, слив из системы отопления, проведение газосварочных работ, установка резьб и кранов д20-2шт, запуск дома</t>
  </si>
  <si>
    <t>18.04.Заявка кв 10. На кухне течет труба отопления. Остановка дома, слив воды из системы. Демонтаж чуг.радиатора вскраытие бет.стяжки, сварочные работы по замене лежака , установка радиатора, запуск дома</t>
  </si>
  <si>
    <t>26.04.Заявка 76. кв 10.Течь батареи, засор канализации. Подготовка для проведения ремонтных работ на лежаке отопления. Установка бандажа. Пробивка канализации из квартиры и подвала</t>
  </si>
  <si>
    <t>30.05. Осмотре сети канализации</t>
  </si>
  <si>
    <t>15.06. замена лампочек</t>
  </si>
  <si>
    <t>09.08.Заявка 1808 кв 4.Замена лампочек 4 шт., ревизия элщитов</t>
  </si>
  <si>
    <t>29.09.Замена лежака отопления, установка кранов на батарею кв 1</t>
  </si>
  <si>
    <t>04.10. завка кв 6. Отключение дома от отопления (убрать батареи)</t>
  </si>
  <si>
    <t>05.10. завка кв 9. Установка кранов на батареи, запуск отопления дома, перепуск стояков кв 11,12.</t>
  </si>
  <si>
    <t>18.10. Подготовка и осмотр электрооборудования для подключения кобры</t>
  </si>
  <si>
    <t>08.11. по заявке кв2,6. Замена стояка хол.воды из подвала на 2 -й этаж</t>
  </si>
  <si>
    <t>21.11.Заявка 3008 кв12. Забит канализационный стояк. Вызов асмашины, после чего прочистка канализации, выезжали 2 раза</t>
  </si>
  <si>
    <t>17.11.Осмотр эл.щитов в доме, протяжка контактов, замена 2х лампочек</t>
  </si>
  <si>
    <t>21.02.Заявка. Нет тепла, составление актов кв 1-5,10</t>
  </si>
  <si>
    <t>15.02.Заявка кв 15. нет воды, требуется замена стояка</t>
  </si>
  <si>
    <t>17.02.Заявка 53 кв 11.Нет воды, прочистка лежака хвс</t>
  </si>
  <si>
    <t>21.02.Заявка кв 3. Забита канализация, пробивка канализации</t>
  </si>
  <si>
    <t>Музыченко, Ерлин, Денисов</t>
  </si>
  <si>
    <t>01.03. Очистка кровли от снега</t>
  </si>
  <si>
    <t>Овсянников, Христофоров, Денисов</t>
  </si>
  <si>
    <t>28.05. Заявка 252 кв 3. Засор канализации в подвале. Обследовано, полная выгребная яма, протечек нет</t>
  </si>
  <si>
    <t>30.05. кв 3. Течь канализации под полом, осмотрено, течи нет.</t>
  </si>
  <si>
    <t>31.05.Заявка 276 кв 3. В подвале течь канализации. Прочистка троссом  системы канализации в подвале кв 3.</t>
  </si>
  <si>
    <t>Матузов</t>
  </si>
  <si>
    <t>накладные расходы</t>
  </si>
  <si>
    <t>аварийно-диспетчерское обслуживание</t>
  </si>
  <si>
    <t>вывоз ТБО и КГМ</t>
  </si>
  <si>
    <t>ИТОГО отработано часов</t>
  </si>
  <si>
    <t>отработано часов</t>
  </si>
  <si>
    <t>14.06.Осмотр подъездов по установке приборов отопления</t>
  </si>
  <si>
    <t>тариф</t>
  </si>
  <si>
    <t>28.03.заявка 288 кв.15.Удаление снега и сосулек с крыши</t>
  </si>
  <si>
    <t>18.06. Заявка 364. стоит вода в подъезде на 1этаже. Прочистка тросом канализации до колодца</t>
  </si>
  <si>
    <t>20.06. Заявка 380 кв.2. Нет света в квартире. Вследствие КЗ выбило вводной автомат, включено</t>
  </si>
  <si>
    <t>26.06.Заявка 414 кв 10.Стоит вода в подъезде, устранено , прочистили канализацию</t>
  </si>
  <si>
    <t>Денисов, Ерлин, Конюшенко</t>
  </si>
  <si>
    <t>30.06.Заявка 447 кв.10. Стоит вода в подъезде, прощищено тросом до колодца</t>
  </si>
  <si>
    <t>26.10.Заявка 1315 кв.5. Холодные батареи. Температура в отопительных приборах соотвествует температуре в магистрале</t>
  </si>
  <si>
    <t>01.10. Заявка 1063 кв.13. В подъезде на 1 этаже с кан.трубы бежит вода и заливает 1  этаж. Осмотрено. Переполнена выгребная яма. Откачка стоков</t>
  </si>
  <si>
    <t>27.09.Заявка 1032 кв.10. Течь канализации в подъезде.Обследовано, произведена откачка стоков</t>
  </si>
  <si>
    <t>07.09. Заявка 885 кв.4. Треск в счетчиках и запах проводки. Замена автоматов 2 шт</t>
  </si>
  <si>
    <t>27.08. Заявка 802 кв.3. Засор унитаза. Прочищено тросом до колодца</t>
  </si>
  <si>
    <t>Ерлин, Конюшенко.Ерюков</t>
  </si>
  <si>
    <t>21.08.Заявка 772 кв.10. Засор канализации, устранено</t>
  </si>
  <si>
    <t>13.08. Заявка 727 кв 12. Стоит вода в подъезде. Прчищено тросом до колодца</t>
  </si>
  <si>
    <t>07.08. Заявка 703 кв 2. Течь воды в туалете из бачка.  Отказ от заявки</t>
  </si>
  <si>
    <t xml:space="preserve">Матузов </t>
  </si>
  <si>
    <t>06.08.Заявка 696 кв.2. Течет вода в туалете из бачка. Осмотр, услуга платная, запланировано на 07.08.</t>
  </si>
  <si>
    <t>02.08. Заявка 673/а, кв 13. В сливной бачок не поступает вода, устранено, заедание клапана</t>
  </si>
  <si>
    <t>27.07. Заявка 633 кв.13. Заменить сливной бочок и унитаз, замена унитаза 30-31 июля</t>
  </si>
  <si>
    <t>22.07. Заявка 586 кв.10. Засор канализации. Осмотр, пробивка тросом канализации из дома до колодца</t>
  </si>
  <si>
    <t>18.07. Заявка 553 кв 9. Течь канализации в подъезде. Прочищено тросом до колодца, улов "салфетки"</t>
  </si>
  <si>
    <t>09.07.Заявка 496 кв.10. Запах канализации в квартире, стоит вода в подъезде.Прочищено до колодца, произведена дезинфекция подъезда</t>
  </si>
  <si>
    <t xml:space="preserve">Техническое обслуживание внутренней системы электроснабжения </t>
  </si>
  <si>
    <t>час</t>
  </si>
  <si>
    <t>02.10. Заявка 1104 кв 1. Бежит вода с потолка. Обследовано, в кв4. разобрана кухонная канализация. Устранено</t>
  </si>
  <si>
    <t>20.11.Заявка 1478 кв.13. Забита канализация подъезда.Устранено, засор центральной канализации</t>
  </si>
  <si>
    <t>Крупич, музыченко</t>
  </si>
  <si>
    <t>01.07.Осмотр подвального помещения , осмотр промежуточных колодцев</t>
  </si>
  <si>
    <t>15.07.Осмотр подвального помещения , осмотр промежуточных колодцев</t>
  </si>
  <si>
    <t>29.07.Осмотр подвального помещения , осмотр промежуточных колодцев</t>
  </si>
  <si>
    <t>05.08.Осмотр подвального помещения , осмотр промежуточных колодцев</t>
  </si>
  <si>
    <t>19.08.Осмотр подвального помещения , осмотр промежуточных колодцев</t>
  </si>
  <si>
    <t>09.09.Осмотр канализационных сетей, смотровых колодцев</t>
  </si>
  <si>
    <t>23.09.Осмотр канализационных сетей, смотровых колодцев</t>
  </si>
  <si>
    <t>07.10.осмотр техподвалов на предмет протекания, осмотр сетей канализации</t>
  </si>
  <si>
    <t>28.10.Осмотр подвального помещения , осмотр промежуточных колодцев</t>
  </si>
  <si>
    <t>04.11.осмотр техподвалов на предмет протекания, осмотр сетей канализации</t>
  </si>
  <si>
    <t>16.12.Осмотр подвальных помещений, осмотр канализационных колодцев</t>
  </si>
  <si>
    <t>30.12.Осмотр подвальных помещений, осмотр канализационных колодцев</t>
  </si>
  <si>
    <t>13.01.Осмотр подвального помещения , осмотр промежуточных колодцев</t>
  </si>
  <si>
    <t>27.01.Осмотр подвального помещения , осмотр промежуточных колодцев</t>
  </si>
  <si>
    <t>Крупич, Христофоров,</t>
  </si>
  <si>
    <t>10.02.Осмотр внутридомовых инженерных сетей, осмотр смотровых колодцев</t>
  </si>
  <si>
    <t>24.02.Осмотр внутридомовых инженерных сетей, осмотр смотровых колодцев</t>
  </si>
  <si>
    <t>16.03.Осмотр внутридомовых инженерных сетей, осмотр смотровых колодцев</t>
  </si>
  <si>
    <t>30.03.Осмотр внутридомовых инженерных сетей, осмотр смотровых колодцев</t>
  </si>
  <si>
    <t>04.05.Осмотр внутридомовых инженерных сетей, осмотр смотровых колодцев</t>
  </si>
  <si>
    <t>18.05.Осмотр внутридомовых инженерных сетей, осмотр смотровых колодцев</t>
  </si>
  <si>
    <t>01.06.Осмотр внутридомовых инженерных сетей, осмотр смотровых колодцев</t>
  </si>
  <si>
    <t>22.06.Осмотр внутридомовых инженерных сетей, осмотр смотровых колодцев</t>
  </si>
  <si>
    <t>06.07.Осмотр внутридомовых инженерных сетей, осмотр смотровых колодцев</t>
  </si>
  <si>
    <t>20.07.Осмотр внутридомовых инженерных сетей, осмотр смотровых колодцев</t>
  </si>
  <si>
    <t>03.08.Осмотр внутридомовых инженерных сетей, осмотр смотровых колодцев</t>
  </si>
  <si>
    <t>17.08.Осмотр внутридомовых инженерных сетей, осмотр смотровых колодцев</t>
  </si>
  <si>
    <t>07.09.Осмотр внутридомовых инженерных сетей, осмотр смотровых колодцев</t>
  </si>
  <si>
    <t>28.09.Осмотр внутридомовых инженерных сетей, осмотр смотровых колодцев</t>
  </si>
  <si>
    <t>12.10.Осмотр внутридомовых инженерных сетей, осмотр смотровых колодцев</t>
  </si>
  <si>
    <t>26.10.Осмотр внутридомовых инженерных сетей, осмотр смотровых колодцев</t>
  </si>
  <si>
    <t>16.10.Осмотр внутридомовых инженерных сетей, осмотр смотровых колодцев</t>
  </si>
  <si>
    <t>Главный экономист    ООО "МУК"                                            Л.А.Артеменко</t>
  </si>
  <si>
    <t>Вывоз ТБО, ЖБО, КГМ</t>
  </si>
  <si>
    <t>ИТОГО отработано часов по содержанию жилищного фонда</t>
  </si>
  <si>
    <t>Задолженность населения на 01.01.2013 года</t>
  </si>
  <si>
    <t>отработано час</t>
  </si>
  <si>
    <t xml:space="preserve">Водопровод, канализация </t>
  </si>
  <si>
    <t>вывоз ЖБО (руб)</t>
  </si>
  <si>
    <t>ИТОГО отраюотано часов  по содержанию жилищного фонда</t>
  </si>
  <si>
    <t>Площадь многоквартирного пятиэтажного жилого дома, кв.м</t>
  </si>
  <si>
    <t>Размер платы за текущее содержание  руб/ 1 м2  в месяц</t>
  </si>
  <si>
    <t>Собрано денежных средств от населения за текущее содержание</t>
  </si>
  <si>
    <t>Начислено платежей за электроэнергию МОП</t>
  </si>
  <si>
    <t>Собрано денежных средств от населения за электроэнергию МОП</t>
  </si>
  <si>
    <t>Общая задолженность населения</t>
  </si>
  <si>
    <t>в том числе:</t>
  </si>
  <si>
    <t>автотранспорт</t>
  </si>
  <si>
    <t>ФОТ и налоги на з/плату дворников и уборщиков</t>
  </si>
  <si>
    <t>отработано основными рабочими на доме, час</t>
  </si>
  <si>
    <t>ФОТ и налоги на з/плату</t>
  </si>
  <si>
    <t>израсходовано материалов в 2012 году</t>
  </si>
  <si>
    <t>Директор ООО "МУК"                                                Галузина Т.В.</t>
  </si>
  <si>
    <t>ИТОГО отработано часов основными рабочими</t>
  </si>
  <si>
    <t>Матузов, Денисов</t>
  </si>
  <si>
    <t>Ерлин, Крупич</t>
  </si>
  <si>
    <t>выделена субсидия на ремонт сетей  водоснабжения в подвале</t>
  </si>
  <si>
    <t>отраб.час.</t>
  </si>
  <si>
    <t>ФОТ и налоги на з/плату дворников (уборка контейнерных площадок)</t>
  </si>
  <si>
    <t>Уборка контейнерных площадок от мусора, погрузка в автотранспорт КГМ (1 раз в неделю)</t>
  </si>
  <si>
    <t>Лесная 2а</t>
  </si>
  <si>
    <t>Лесная 3а</t>
  </si>
  <si>
    <t>Уборка контейнерных площадок , погрузка КГМ</t>
  </si>
  <si>
    <t xml:space="preserve">Отчет ООО " МУК" по управлению и текущему содержанию МКД по адресу р.п.Мошково, ул.Западная 15 за период с июня 2011 года по декабрь 2012 года </t>
  </si>
  <si>
    <t>Крупич, Ерлин, Конюшенко</t>
  </si>
  <si>
    <t>Крупич, Денисов, Музыченко</t>
  </si>
  <si>
    <t>Конюшенко, Музыченко, Ерлин</t>
  </si>
  <si>
    <t>Дефицит денежных средств по жилому дому № 15 по ул.Западная</t>
  </si>
  <si>
    <t>отраб.часов</t>
  </si>
  <si>
    <t xml:space="preserve"> по улице  Западная   с 1 июня   2011 года по 31 декабря 2012 года</t>
  </si>
  <si>
    <t>ИТОГО отработано часов  по содержанию жилищного фонда</t>
  </si>
  <si>
    <t>21.01.Заявка 3530 кв.18. Холодные батареи.Осмотрено, по стояку врезка в систему отопления, предупреждение о ликвидации врезки</t>
  </si>
  <si>
    <t>25.01.Заявка 3557 кв.18.Холодные батареи на кухне. Перепуск стояка</t>
  </si>
  <si>
    <t>02.07.Заявка 457 кв.43. Течь воды с крыши в квартиру, пропенены примыкания вытяжных труб и плиты покрытия</t>
  </si>
  <si>
    <t>30.10.Заявка 1333 кв.29. Течь в крыше. Осмотрено, повреждения в крышетне выявлены</t>
  </si>
  <si>
    <t>20.10.Заявка 1247 кв.26. Разили стеклянные блоки в подвальных окнах 2,4 подвал.. Устранено, окна застеклили</t>
  </si>
  <si>
    <t>15.10.Заявка 1191 кв.43. На 5 этаже оазбито окно. Устранено</t>
  </si>
  <si>
    <t>01.10.Заявка 1110 кв.7. Шум в татареи отопления. Осмотрено, шума нет</t>
  </si>
  <si>
    <t>10.10.Заявка 1112 кв.39. Нет тепла в детской, перепущено, был завоздушен стояк отопления.</t>
  </si>
  <si>
    <t>05.10.Заявка 1081 1078кв.17,1,4,7,10,13. Холодные батареи на кухне. Нарушений системы отопления не обнаружено</t>
  </si>
  <si>
    <t>19.12.Заявка 1759 кв.15. Холодно в квартире. Осмотрено, Отопление по стоякам в рабочем состоянии, дома никого нет</t>
  </si>
  <si>
    <t>13.12. Заявка 1698 крыша. Засор вентиляции, прочистка вентиляции</t>
  </si>
  <si>
    <t xml:space="preserve">03.12. Заявка 1594 кв 10. Прочистить вентиляцию, запах в квартире, Прочистили куржак </t>
  </si>
  <si>
    <t>22.10.Заявка 1275, 1268 кв.28, кв15. Протекает крыша в спальне, в коридоре. Запенили на крыше, вна чердаке</t>
  </si>
  <si>
    <t>22.10.Заявка 1276 кв.28. В зале крошится стык между стенами снаружи. Осмотрено, включено в план работ на 2013 год</t>
  </si>
  <si>
    <t>13.09.Заявка 925  3 подъезд. Нет стекла на 5 этаже. Произведено остекление</t>
  </si>
  <si>
    <t>31.07. Заявка 661 кв15. Течь крыши. Обследовано, следы от весенних подтеканий, необходимо утеплить венткороб</t>
  </si>
  <si>
    <t xml:space="preserve">06.08.Заявка 696 кв.45. В подъезде с 5 на 4 этаж по шву бежит вода, пропенены видимые места  </t>
  </si>
  <si>
    <t>Крупич, Ерлин, Конюшенко, музыченко</t>
  </si>
  <si>
    <t>01.12.Заявка 1579 кв.10. Засор канализации, в подъезде стоит вода, устранено</t>
  </si>
  <si>
    <t>Ерюков, Музыченко</t>
  </si>
  <si>
    <t>19.12. Заявка 1762 кв.6. Нет света в подъезде, замена лампочек 2 шт, патрон настенный 1 шт</t>
  </si>
  <si>
    <t>03.12.Заявка 1588 кв.8. Включить насос в отопительной системе, насос включен</t>
  </si>
  <si>
    <t>05.12. Заявка 1615 .Засор канализации, прочищено тросом до конца колодца</t>
  </si>
  <si>
    <t>02.12. Заявка 1583 кв.10. Засор канализации, канализацию прочистили</t>
  </si>
  <si>
    <t>Ерлин, Денисов, Музыченко</t>
  </si>
  <si>
    <t>Конюшенко, Ерюков</t>
  </si>
  <si>
    <t>Площадь многоквартирного  жилого дома, кв.м</t>
  </si>
  <si>
    <t>услуги паспортиста</t>
  </si>
  <si>
    <t>статьи затрат</t>
  </si>
  <si>
    <t>обследование системы теплоснабжения жилого дома (15 тыс.руб)</t>
  </si>
  <si>
    <t>Статья затрат</t>
  </si>
  <si>
    <t>Конюшенко, матузов</t>
  </si>
  <si>
    <t>вышка</t>
  </si>
  <si>
    <t>лампы</t>
  </si>
  <si>
    <t>автоматы</t>
  </si>
  <si>
    <t>ИТОГО отработано рабочими часов по содержанию жилищного фонда</t>
  </si>
  <si>
    <t>ИТОГО  отработано часов  по содержанию жилого дома</t>
  </si>
  <si>
    <t>Начислено платежей за текущее содержание период с 01.01.201 года по 30.04.2013 года</t>
  </si>
  <si>
    <t>Доходов по управлению и текущему содержанию жилого дома № 15 по ул.западная за период с 1 января 2013 г по30 апреля 2013</t>
  </si>
  <si>
    <t>Затраты по  текущему содержанию с января 2013 по апрель 2013года</t>
  </si>
  <si>
    <t>09.01.2013 Заявка 41 .Засор в подвале. Прочистка тросом канализации</t>
  </si>
  <si>
    <t>Музыченко, Ерлин, Конюшенко</t>
  </si>
  <si>
    <t>11.01.2013 Заявка 60 кв.41. Холодный полотенцесушитель. Обследованы квартиры 32,41 , при перекрытии  стояка хвс, полотенцесушитель прогревается. Для устранения необходимо обследовать квартиры 35,38,44.</t>
  </si>
  <si>
    <t>Крупич, Конюшенко, Кривенчук</t>
  </si>
  <si>
    <t>11.01.Заявка 59 кв.37. Плохо греет батарея в спальне. Обследовано кв 37,40,43. Стояк теплый (подключен к обратке)</t>
  </si>
  <si>
    <t>11.01.Заявка 57. Засор канализации в подвале. Прочистка канализации тросом</t>
  </si>
  <si>
    <t>Овсянников, Крупич, Конюшенко</t>
  </si>
  <si>
    <t xml:space="preserve">14.01.Заявка 75 кв.41. Холодный полотенцесушитель. Осмотрены квартиры 41,44,38,35.  Необходимо заменить смеситель в квартире 44 </t>
  </si>
  <si>
    <t>Кривенчук, Конюшенко, Музыченко</t>
  </si>
  <si>
    <t>16.01.Заявка 99 кв 41,44, Замена кванов на вводе.</t>
  </si>
  <si>
    <t>18.01.Заявка 127 . Плановый осмотр. Подвалов. Осмотрено, нарушений работы систем водоснабжения и отопления не обнаружено</t>
  </si>
  <si>
    <t>18.01.Заявка 125 кв.23. Сломался кран хвс. Течь воды. Течь устранена</t>
  </si>
  <si>
    <t>23.01.Эаявка 153  кв.37. Холодный стояк в спальне. Перепуск стояка</t>
  </si>
  <si>
    <t>28.01.Заявка 199 кв.37. Нет света в подъездах. Замена лампочек 10 шт</t>
  </si>
  <si>
    <t>29.01.Заявка 214 . Осмотр подвала. Осмотрено, нарушений нет</t>
  </si>
  <si>
    <t>30.01.Заявка 225  подвал. Засор канализации. Прочищено тросом до колодца</t>
  </si>
  <si>
    <t>30.01.Заявка 223 ,222кв 37,23 Холодно в квартире, холодный стояк. В подвале температура 32 градуса, давление 0,8</t>
  </si>
  <si>
    <t>04.03.2013 г Сброшены "шапки" с крыши (Заявки 200,от 28.01.№ 328от 14.02.№ 506 от 04.03)</t>
  </si>
  <si>
    <t>02.02.Заявка 252 кв.23. В 3 подъезд в подвале течет горячая вода , осмотрено, течи горячей воды нет.</t>
  </si>
  <si>
    <t>08.02.Заявка 285 .Засор канализации в подвале. Прочищено тросом из колодцев до подвала</t>
  </si>
  <si>
    <t>11.02.Заявка 304 кв.19. Свтет мигнул и погас во всей квартире.12.02.- Осмотрено, сгорел пакетный выключатель, замена автоматов ВА 4729 С25 3 шт.</t>
  </si>
  <si>
    <t>11.02.Заявка 298 а. Шумит вода в подвале. Забита канализация, произведена прочистка</t>
  </si>
  <si>
    <t>11.02.Заявка 294 кв.15. Нет электртчества. Замена автомата 1 шт</t>
  </si>
  <si>
    <t>14.02.Заявка 327 кв.23. В подвале бежит горячая вода. Осмотрено, произведен разбор труб системы канализации., обратная сборка трубопровода, работа ситемы канализации восстановлена</t>
  </si>
  <si>
    <t>19.02.Заявка 368 кв.20. Сильный запах канализации по всему дому. Прочищено тросом из колодцев до подвала.</t>
  </si>
  <si>
    <t>19.02.Заявка 377, 381 кв.20. Нет света на площадке. Замена лампочек 7 шт</t>
  </si>
  <si>
    <t>22.02.Заявка 397. Осмотр канализации в подвале. Нарушений работы не обнаружено</t>
  </si>
  <si>
    <t>Овсянников, Ерлин, Конюшенко</t>
  </si>
  <si>
    <t>15.03. Заявка 627 кв.32. Нет холодной воды на кухне, подтекает вода под бачком унитаза. Осмотрено, зона ответственности собственника, требуется замена кранов, вода на кухню включена</t>
  </si>
  <si>
    <t>Кривенчук, Ерюков</t>
  </si>
  <si>
    <t>27.03. Выполнены работы по очистке козырьков от снега. Заявка 616а от 14.02.</t>
  </si>
  <si>
    <t>02.04.Заявка 786 осмотр подвалов. Осмотрено, произведена очистка канализации</t>
  </si>
  <si>
    <t>05.04.Заявка 832 . Осмотр канализации. Осмотрено, замечаний нет</t>
  </si>
  <si>
    <t>Конюшенко, музыченко, Крупич</t>
  </si>
  <si>
    <t>05.04.Заявка 818 кв.37. Нет света в подъездах. Замена 10 лампочек</t>
  </si>
  <si>
    <t>10.04.Заявка 865 .Осмотр канализации. Нарушений работы коммуникаций в подвале не обнаружено</t>
  </si>
  <si>
    <t>15.04.Заявка 890 кв.53. Стоит канализациия. Осмотрено, требуется замена канализационного тройника на центральной трубе, пробивка общедомовой канализации</t>
  </si>
  <si>
    <t>23.04.Заявка 980 кв 53-56. Замена кухонного общедомового стояка 1м, тройников, подключение квартирной разводки</t>
  </si>
  <si>
    <t>Денисов, Стрижеус</t>
  </si>
  <si>
    <t>04.03.Заявка 503 .Осмотр подвалов. Осмотрено, требуется замена кранов на стояках системы отопления. Произведена замена крана.</t>
  </si>
  <si>
    <t>07.03.Заявка 546. Осмотр подвалов. Осмотрено, течи нет</t>
  </si>
  <si>
    <t>11.03.Заявка 563 .Осмотр подвалов. Осмотрено, все в порядке</t>
  </si>
  <si>
    <t>24.03.Заявка 700 кв.55. Нет света в квартире. Замена автоматов 2шт.</t>
  </si>
  <si>
    <t>27.03.Заявка 724.Осмотр канализации. Прочищена канализация тросом из подвала</t>
  </si>
  <si>
    <t>Музыченко, Стрижеус</t>
  </si>
  <si>
    <t>29.03.Заявка 745. Осмотр инж.сетей.Засор канализации, прочищено тросом из подвала до колодца</t>
  </si>
  <si>
    <t>Крупич, Ерлин, Музыченко</t>
  </si>
  <si>
    <t>Задолженность на 01.01.2013 года</t>
  </si>
  <si>
    <t>Задолженость населения за текущее содержание на 17.05.2013 года</t>
  </si>
  <si>
    <t xml:space="preserve"> по улице М.Горького  с  января по апрель  2013года</t>
  </si>
  <si>
    <t>06.01.Заявка 25 . Нет света на улице и на первом этаже</t>
  </si>
  <si>
    <t>01.02.Заявка 241 кв.12. Перегорели лампочки в подъезде. Замена лампочек 3 шт.</t>
  </si>
  <si>
    <t>25.02.Заявка 428 кв.12. Нет света при входе в подъезд и в тамбуре. Замена лампочек 3 шт</t>
  </si>
  <si>
    <t>23.04.Заявка 977 кв.12. На улице и при входе нет света. Замена лампочек 2шт</t>
  </si>
  <si>
    <t>Сауков, Крупич, Ерлин</t>
  </si>
  <si>
    <t>04.04.Заявка 808 осмотр подвалов</t>
  </si>
  <si>
    <t>Сауков, Крупич, ерлин</t>
  </si>
  <si>
    <t>04.04.Заявка 809 1 подъезд. Замена конвектора. Произведенны слесарно-сварочные работы по замене конвектора в 1 подъезде</t>
  </si>
  <si>
    <t>15.01.Заявка 83 кв.11. В подвале стоит вода, произведены работы по устранении течи, сброс системы отопления, произведены сварочные работы</t>
  </si>
  <si>
    <t>Остаток денежных средств на 01.01.2013г</t>
  </si>
  <si>
    <t>израсходовано материалов в 2013 году</t>
  </si>
  <si>
    <t>01.03.Обследование системы теплоснабжения спец.организацией</t>
  </si>
  <si>
    <t xml:space="preserve">Доходов по управлению и текущему содержанию жилого дома № 4б по ул.М.Горького за период с 1 января по 30 апреля 2013 г </t>
  </si>
  <si>
    <t xml:space="preserve">Затраты по управлению и текущему содержанию с 1 января по 30 апреля 2013 года </t>
  </si>
  <si>
    <t>Задолженость населения за текущее содержание на 30.04.2013 года</t>
  </si>
  <si>
    <t>Задолженность населения за электроэнергию МОП на 30.04.2013 года</t>
  </si>
  <si>
    <t>Начислено платежей за текущее содержание период с 01.01. по 30.04.2013 года</t>
  </si>
  <si>
    <t>Сумма за период с 01.01. по 30.04.2013 г (руб)</t>
  </si>
  <si>
    <t>работа погрузчика по очистке проездов от снега (1 час)</t>
  </si>
  <si>
    <t>Отчет ООО " МУК" по управлению и текущему содержанию МКД по адресу р.п.Мошково,                                                                                         ул.Горького 4Б за период с января по апрель  2013г</t>
  </si>
  <si>
    <t>12.01.Заявка 67, кв.12. Засор унитаза. Прочищено, требуется замена унитаза</t>
  </si>
  <si>
    <t>10.01.Заявка 48, кв.13. Осмотр стояка хвс.</t>
  </si>
  <si>
    <t>05.01.Заявка 17 кв.3. Вода плохо уходит, запах канализации в квартире. Прочищено</t>
  </si>
  <si>
    <t>15.01.Заявка 81  кв.3. Не горит свет в подъезде</t>
  </si>
  <si>
    <t>23.02.Заявка 407 кв.5. Прочистить вентиляцию в ванной комнате. Устранено, вентиляция прочищена</t>
  </si>
  <si>
    <t>17.02.Заявка 449. Перехватило п/сушитель в подъезде. Отогрев полотенцесушителя, запуск отопления.</t>
  </si>
  <si>
    <t>12.02.Заявка 316 кв.7,8. Плохо постает холодная вода в квартиру. Осмотр 14.02., с 26 по 28 февраля замена стояков хвс по дому, заявка 440</t>
  </si>
  <si>
    <t>27.02.Заявка 443  подвал. Засор канализации. Прочищено тросом из подвала до колодца</t>
  </si>
  <si>
    <t>05.02.Заявка 266 кв.11. Нет света на 2 этаже. Замена лампочек 4 шт</t>
  </si>
  <si>
    <t>26.02.Заявка 436 кв.3. Нет света на 1 этаже и на входе. Замена лампочек 3 шт</t>
  </si>
  <si>
    <t>27.02. Заявка 444 кв.12. Нависли шапки снега. 18.03. проведены плановые работы по очистке снега.</t>
  </si>
  <si>
    <t>17.03.Заявка 646 кв.6. Висит шифер над окном. Устранено 19.03.</t>
  </si>
  <si>
    <t>21.03.Заявка 672 кв 17,18. Холодные батареи. Перепуск стояков</t>
  </si>
  <si>
    <t>16.03.Заявка 636 кв.17. Холодные батареи в зале. Отогрели систему отопления</t>
  </si>
  <si>
    <t>16.03.Заявка 634 кв.18. Холодные батареи в зале, перепуск стояка</t>
  </si>
  <si>
    <t>14.03.Заявка 610 кв.17. Холодные батареи. Перепущено</t>
  </si>
  <si>
    <t>14.03.Заявка 615 кв.18. Холодные батареи. Перепуск стояка</t>
  </si>
  <si>
    <t>11.03.Заявка 575 кв 5,4,15. Перепустить отопление, в кв.4 в ванной хол.батареи. Перепуск стояков</t>
  </si>
  <si>
    <t>11.03.Заявка 582 кв.4. Холодные батареи. Стояк перепущен и отогрет 12.03.</t>
  </si>
  <si>
    <t>03.03.Заявка 494 кв.18. Завоздушило отопление. Перепуск стояков</t>
  </si>
  <si>
    <t>03.03. Заявка 492 кв 15,5. Завоздушило трубы отопления. Перепуск стояков, батареи стали теплыми.</t>
  </si>
  <si>
    <t>02.03.Заявка 485 кв.18. Нет тепла в квартире. Устранено, стояк отогрет и перепущен.</t>
  </si>
  <si>
    <t>01.03.Заявка 478 кв.18. Холодные батареи отопления в спальне. Произведен перепуск батареи</t>
  </si>
  <si>
    <t>01.03.Заявка 480 кв.15. Холодная батарея отопления. Перепущен стояк</t>
  </si>
  <si>
    <t xml:space="preserve">01.03. Заявка 479 кв.16,13. Нет воды в квартире. Подключение стояка хвс кухня (отдельно был сделан вывод). </t>
  </si>
  <si>
    <t>02.03.Заявка 487 кв.12. Нет воды на кухне. Прочищен стояк</t>
  </si>
  <si>
    <t>30.03.Заявка 760 кв.7. Забита канализация в подвале. Прочищено тросом</t>
  </si>
  <si>
    <t>19.03.Заявка 663 кв.3. Нет света в подъезде. Замена лампочек 3 шт</t>
  </si>
  <si>
    <t>24.04.Заявка 983 кв.5-6. Ремонт кровли над квартирой 5</t>
  </si>
  <si>
    <t>24.04.Заявка 983 кв.6. Осмотр канализации в подвале. Система канализации работает исправно</t>
  </si>
  <si>
    <t>23.04.Заявка 978 кв.5. Течет потолок .осмотрено, составлен акт, лопнул шифер.</t>
  </si>
  <si>
    <t>25.04.Заявка 996 кв.4,5,10. Течет крыша.  Осмотрено, требуется замена листов шифера.</t>
  </si>
  <si>
    <t>19.04. Заявка 943 кв.16. В квартире запах канализации, осмотрено, в подвале скопление грунтовых вод.</t>
  </si>
  <si>
    <t>10.04.Заявка 868 1 подвал. Полная емкость воды, течет в подвал, осмотено, в подвале поднялись грунтовые воды.</t>
  </si>
  <si>
    <t>04.04.Заявка 797 кв.16. Сильный запах канализации в квартире, проведены работы по прочистке канализации и дезинфекции техподполья.</t>
  </si>
  <si>
    <t>03.04.Заявка 795 кв.7. Забита канализация. Стоит центральная канализация.</t>
  </si>
  <si>
    <t>02.04.Заявка 789 кв.7. Засор канализации. Осмотрено, на кухне засор перед приходом слесарей ушел.3.04. проведены работы по прочистке подвальных сетей</t>
  </si>
  <si>
    <t>22.04.Заявка 961 кв.16. Плохо уходит канализация, осмотрено, система канализации работает без нарушений, требуется дезинфекция подвала.</t>
  </si>
  <si>
    <t>22.04.Заявка 970 1 подъезд. Нет света при входе. Замена лампочек 3 шт</t>
  </si>
  <si>
    <t>19.04.Заявка 949 кв.8. Вода из крана бьет током. Осмотрено, где то в квартире пробивает эл.плита или водонагреватель</t>
  </si>
  <si>
    <t>11.04.Заявка 872. Нет света при входе в средний подъезд.Замена 1 лампочки</t>
  </si>
  <si>
    <t>23.05.Заявка 1207 кв.6. Течет крыша. 27.05. проведены работы по закреплению шифера, выполнена герметизация трещин в шифере.</t>
  </si>
  <si>
    <t>22.05.Заявка 1192 "а" кв.13.  Выданы листы металла для крайнего ряда крыши, работы по установке проводились собственником</t>
  </si>
  <si>
    <t>20.05.Заявка 1170 кв.6. Осмотр кровли, протечек на чердаке не обнаружено, необходимо заменить шифер на всей крыше.</t>
  </si>
  <si>
    <t>18.05.Заявка 1157 кв.6. Течет крыша в спальне, осмотрено, требуется замена шифера на крыше.</t>
  </si>
  <si>
    <t>23.05.Заявка 1204 кв1,5. Пробивка канализации, пробита тросом до колодца.</t>
  </si>
  <si>
    <t>22.05. Заявка 1197 кв.1. Осмотр канализации, устранено, прочищено</t>
  </si>
  <si>
    <t>13.05.Заявка 1135, кв.3. Не горит лампочка в подъезде и на улице. Замена лампочек 3 шт.</t>
  </si>
  <si>
    <t>30.05.Заявка 1250 нет света на крыльце и в подъезде, замена 3 лампочек.</t>
  </si>
  <si>
    <t>22.05.Заявка 1191 кв.5. Сырая стена, осмотрено, необходим капитальный ремонт крыши. Заделка герметиком щелей в шифере над квартрой № 5</t>
  </si>
  <si>
    <t>08.06.Заявка 1304 кв.7 В квартире и в подъезде запах канализации. Осмотрено, запаха нет</t>
  </si>
  <si>
    <t>04.06.Заявка 1271 1 подъезд. В подвал бежит вода. Устранено</t>
  </si>
  <si>
    <t>24.06.Заявка 1392 кв.13. Сброс воды из ситемы отопления.</t>
  </si>
  <si>
    <t>16.01.Заявка 107 кв 15. Убрать снег с крыши. 17.01. заявка 115. Очистка крыши от снега, очищены выходы из подъездов</t>
  </si>
  <si>
    <t>14.01.Заявка 77 кв.19. Отключение и подключение хвс</t>
  </si>
  <si>
    <t>14.01.Заявка 78 кв.12. Нет холодной воды, устранено, прочищен кран на входе в квартире</t>
  </si>
  <si>
    <t>14.01.Заявка 79 кв.8, Искпит счетчик, пахнет дымом. Осмотрено, плохой контакт на соединении проводов в квартире</t>
  </si>
  <si>
    <t>17.02.Заявка 353 кв.4. Под полом журчит вода. Осмотрено, выявлена течь хвс под полом в квартире.</t>
  </si>
  <si>
    <t>17.01.Заявка 117 кв.12. Не горит свет на площадке. Ремонт патрона и выключателя</t>
  </si>
  <si>
    <t>08.02.Заявка 284 кв.9. Перед подъездом перегорела лампочка, замена лампочек 3 шт.</t>
  </si>
  <si>
    <t>17.05.Заявка 1152 кв.7. Нет света в зале. Осмотрено, напряжение со щита до счетчика в квартиру поступает. Соо счетчика до распредкоробки в зале напряжения нет</t>
  </si>
  <si>
    <t>11.06. Заявка 1323 кв.7. Заменить трубы отопления. Осмотрено, работы будут выполнены, после выхода из отпуска сварщика</t>
  </si>
  <si>
    <t>18.06.Заявка 1363 кв.1. Отключить воду . Вода перекыта с 10 до 12.</t>
  </si>
  <si>
    <t>14.06.Заявка 1345 кв.2. Замена канализационного стояка 18.06.</t>
  </si>
  <si>
    <t xml:space="preserve">Собрано денежных средств от населения </t>
  </si>
  <si>
    <t>Доходов по управлению и текущему содержанию жилого дома №2а по ул.Гагарина за период с 01 01. по 01.08.2013</t>
  </si>
  <si>
    <t>Затраты по управлению и текущему содержанию с 01.01. по 01.08.2013г</t>
  </si>
  <si>
    <t>Задолженность населения  на 01.08.2013г</t>
  </si>
  <si>
    <t>работа автовышки 8 часов</t>
  </si>
  <si>
    <t>оплата за электроэнергию на ОДН</t>
  </si>
  <si>
    <t>Дефицит (экономия)  денежных средств по жилому дому № 2а по ул.Гагарина на 01.08.</t>
  </si>
  <si>
    <t>выполненных работ по управлению и обслуживанию ООО "МУК"  жилого дома   № 2а по улице  Гагарина  с 01.01.2013 по 01.08.2013</t>
  </si>
  <si>
    <t>экономия на 01.01.2013г</t>
  </si>
  <si>
    <t>выполненных работ по управлению  жилого дома   № 11а</t>
  </si>
  <si>
    <t>дефицит на 01.01.2013г</t>
  </si>
  <si>
    <t>30.01.Заявка 227 кв 7. Нет холодной воды. Обследовано, требуется замена стояка из подвала до 3-го этажа</t>
  </si>
  <si>
    <t>12.02.Заявка 314 кв.11. 2 подъезд, 1 этаж нет света. Замена лампочек 3 шт.</t>
  </si>
  <si>
    <t>01.03.Заявка 482 кв.7. Нет тепла в квартире. Осмотрено, перехватило трубу на крыше, отогрев трубопровода.</t>
  </si>
  <si>
    <t xml:space="preserve">12.03.Заявка 588 кв.2,18. Холодные батареи, устранено, перепущено  </t>
  </si>
  <si>
    <t>12.03.Заявка 592 кв.2 13.03.Заявка 594 кв.18. Холодные батареи. Перепуск стояков 13.03</t>
  </si>
  <si>
    <t>17.03.Заявка 643 кв.18. Холодные батареи на кухне в ванной. Перепуск стояков</t>
  </si>
  <si>
    <t>23.04.Заявка 971 кв.18. Холодно в квартирах. Перепущено отпление</t>
  </si>
  <si>
    <t>09.04.Заявка 855 кв.7. С потолка капает . Осмотрено на чердаке тает снег. Остатки снега убраны. Работы включены в план по подготовке к зиме</t>
  </si>
  <si>
    <t>21.03.Заявка 684 кв.18. Холодные батареи на кухне в ванной. Перепуск стояков</t>
  </si>
  <si>
    <t xml:space="preserve">15.04.Заявка 1072 кв.16. Подключить батарею в подъезде. Осмотрено работы включены в план работ после окончания отопительного сезона </t>
  </si>
  <si>
    <t>26.04.Заявка 1004 кв.23 Не закрывается дверь в третьем подъезде. Произведен ремонт двери</t>
  </si>
  <si>
    <t xml:space="preserve">27.04.Заявка 1009 кв.5 Бежит вода с потолка. Устранено, перекрыт кран на стояке в 8 квартире. Течь трубопровода в зоне отвественности собственника кв.8. </t>
  </si>
  <si>
    <t>29.04.Заявка 1020 3 подъезд. В подвал поступает вода. Осмотрено, поднялись грунтовые воды, угрозы затопления нет.</t>
  </si>
  <si>
    <t>06.05.Заявка 1065 кв.23. В подвале протекает канализация. Осмотрено, забита центральная трасса, колодцы полные</t>
  </si>
  <si>
    <t>08.05.Заявка 1096, плановый осмотр подвалов. В подвале стоят грунтовые воды</t>
  </si>
  <si>
    <t>08.05.Заявка 1095 кв.17. Нет света в подъезде. Замена лампочек 5 шт</t>
  </si>
  <si>
    <t>05.07 Заявка 1463 кв.17. Нет света в квартире на площадке, искрит проводка в щите. Осмотрено, требуется замена конт.выключетля - сгорел</t>
  </si>
  <si>
    <t>16.07.Заявка 1521 кв.11. Нет света на 1 этаже.. 17.07. произведена замена 1 лампочки на 1 этаже</t>
  </si>
  <si>
    <t>06.08.Заявка 1647 . Плановый осмотр системы электроснабжения, требуется замена автомат 25А - 12 шт.; автомат 40А - 5шт.</t>
  </si>
  <si>
    <t>08.08.Заявка 1653 кв 7,8,9,12,13. Замена автоматов ВА 47-29 25А - 12шт, ВА47-29 35А - 5 шт, замена ламп 2 шт</t>
  </si>
  <si>
    <t>11.01.Заявка 65 кв.4. В подъезде порыв, вода стоит в подъезде. Осмотрено замерзла канализация на 2 хозяина</t>
  </si>
  <si>
    <t>12.01.Заявка 65-а, отогрев канализационных сетей с 9 до 17</t>
  </si>
  <si>
    <t>13.01.Заявка 65-б, замерзла канализация на 2 хозяина,  .С 14 по 15 января проведены работы по вскрытию грунта, замене труб и установки ревизии</t>
  </si>
  <si>
    <t>09.04.Заявка 854 кв.4. Нет холодной воды в квартире. Осмотрено на доме низкое давление, на весь дом труба д 15мм.</t>
  </si>
  <si>
    <t xml:space="preserve">11.04.Заявка 870 кв.3. Очень плохо бежит вода. Обследовано, необходимо замннить подводящий трубопровод д15мм. </t>
  </si>
  <si>
    <t>15.04. Заявка 934 кв.1. В квартире нет воды. Осмотр сети дома совместно с ООО "Аква-терминал"</t>
  </si>
  <si>
    <t>15.07.Заявка 1509 кв.3. Течь крыши. 16.07.Осмотрено, трещины двух листов шифера  над кобылками, пропенено, необходима замена 2х листов шифера.</t>
  </si>
  <si>
    <t>10.01.Заявка 50.Нет света на 2 и 3 этажах в 3 подъезде. Осмотрено, проведены работы  по освещению подъезда.</t>
  </si>
  <si>
    <t>24.01.Заявка 168. кв.12. Убрать снег с крыши. 5 февраля проведены работы по очистке крыши от снега</t>
  </si>
  <si>
    <t>14.01.Заявка 76 . Искрят провода в щитке. Нет контакта между вставкой и губками. Устранено, замена лампочки</t>
  </si>
  <si>
    <t>05.01.Заявка 23 кв.10. Не работает электроплита. Осмотрено, замыкание электроплиты</t>
  </si>
  <si>
    <t>14.01. установлен новый регистр в подъезде, отопительный прибор прогревается</t>
  </si>
  <si>
    <t>12.02.Заявка 334а., из подвала идет шум. Устранено</t>
  </si>
  <si>
    <t>Конюшенко, Музыченко, Денисов</t>
  </si>
  <si>
    <t>16.02.Заявка 346 кв 10,9. Засор канализации. Прочищено</t>
  </si>
  <si>
    <t>22.02.Заявка 400, плановый осмотр системы канализации, нарушений не обнаружено</t>
  </si>
  <si>
    <t>06.03.Заявка 524 . Забита канализация. Устранено, прочищено до колодца</t>
  </si>
  <si>
    <t>06.03.Заявка 534 . Осмотр подвалов</t>
  </si>
  <si>
    <t>15.04.Заявка 898. Засор канализации. Откачка воды (грунтовой) из техподполья 2 машины по 4м3, пробивка троссом, безрезультатно</t>
  </si>
  <si>
    <t>16.04. Заявка 931  кв.9,10,12. Засор канализации. Пробивка канализации с чердака, откачка емкости, безрезультатно</t>
  </si>
  <si>
    <t>12.04.Заявка 878. Уборка контейнерной площадки. Площадка очищена</t>
  </si>
  <si>
    <t>10.04.Заявка 858. Очистить отмостку от снега. Очищено</t>
  </si>
  <si>
    <t>Стрижеус</t>
  </si>
  <si>
    <t>11.04.Заявка 881 кв9,10,11,12. Засор канализации.Нарушений работы системы канализации не обнаружено</t>
  </si>
  <si>
    <t>08.04.Заявка 842 кв.9,10,11,12. Засор канализация. Произведена откачка емкости, прочистка канализации из дома до колодца - 15 м</t>
  </si>
  <si>
    <t>19.04.Заявка 944а. Убрать мусор. Уборка мусора около контейнеров</t>
  </si>
  <si>
    <t>14.04.Заявка 894 кв.12. Поднялась канализация, устранено</t>
  </si>
  <si>
    <t>13.05.Заявка 1127. кв.5. Осмотреть, места протекания, осмотрено</t>
  </si>
  <si>
    <t>17.05.Заявка 1161 кв.8,6,2, засор канализации, прочистка из квартиры №8.</t>
  </si>
  <si>
    <t>26.05.Заявка 1220 кв.4. Замена канализационного стояка. Произведена замена стояка</t>
  </si>
  <si>
    <t>29.05.Заявка 1246а кв.4. Течь канализационной трубы в туалете. Устранено</t>
  </si>
  <si>
    <t>05.06.Заявка 1274 кв.8. Слить воду из системы отопления. Воду слили</t>
  </si>
  <si>
    <t>16.05.Заявка 1147 кв.8.  Засор канализации. Работы проводились в течение 4 х часов, безрезультатно</t>
  </si>
  <si>
    <t>23.06.Заявка 1388 .Осмотр системы канализии. Осмотрено, состояние удовлетворительное</t>
  </si>
  <si>
    <t>25.06.Заявка 1399. Засор канализации. Прочищено  тросом из подъезда до колодца и обратно</t>
  </si>
  <si>
    <t>02.07.Заявка 1442. Засор канализации. Прочищены тросом выпуска из дома до колодца 2 подъезд</t>
  </si>
  <si>
    <t>28.07.Заявка 1582 кв.4. Протекает канализационная труба под лестницей. Обследовано протекание из-за переполненной выгребной ямы - на момент обследования при контрольном проливе подтеканий не выявлено.</t>
  </si>
  <si>
    <t>Денисов, Матузов</t>
  </si>
  <si>
    <t>30.07.Заявка 1593 (по заявлению № 74 от 06.05.2013г), произведены бетонные работы по выравниванию пола во втором подъезде. Переустановлена ревизия хвс.</t>
  </si>
  <si>
    <t>Крупич, Матузов</t>
  </si>
  <si>
    <t>18.08. Заявка 1680 кв.4. Поднимается канализация в ванной. Пробивка тросом стояка и выпуска из дома в промежуточный колодец, (посторонние предметы, волосы).</t>
  </si>
  <si>
    <t>15.09.Заявка 1886 кв.4. Засор канализации в ванне стоит вода, прочищено</t>
  </si>
  <si>
    <t>19.09.Заявка 1908 кв.4 Засор канализации. Устранено, прочищено до колодца</t>
  </si>
  <si>
    <t>28.09.Заявка 2021 кв.4.Стоит вода в туалете и ванной. Прочищено тросом из дома до колодца</t>
  </si>
  <si>
    <t>Матузов, музыченко</t>
  </si>
  <si>
    <t>16.09.Плановые работы по замене запорной арматуры в тепловом колодце.</t>
  </si>
  <si>
    <t>06.03.Заявка 528. Нет света в подъездах. Замена лампочки и патрона настенного</t>
  </si>
  <si>
    <t>31.08.Заявка 1761 кв.4. В ванне поднимается канализация. Прочистили трубы канализации,  выпуска из дома до колодца</t>
  </si>
  <si>
    <t>оплата за электроэнергию на общедомовые нужды</t>
  </si>
  <si>
    <t>28.01.Заявка 195 кв.1. Убрать снег с крыши</t>
  </si>
  <si>
    <t>Денисов, Овсянников, Музыченко</t>
  </si>
  <si>
    <t>08.03.Заявка 550 кв.4. Нет электроэнергии. Замена кабеля , с гусака до вводного щита</t>
  </si>
  <si>
    <t>Ерюков, Денисов</t>
  </si>
  <si>
    <t>15.03.Заявка кв.2. Очистить козырьки от наледи. Работы выполнены</t>
  </si>
  <si>
    <t>Конюшенко, Ерлин, Стрижеус</t>
  </si>
  <si>
    <t>21.03.Заявка 673. Ремонт крыши. Заменено 3 листа шифера на металл 25.03.</t>
  </si>
  <si>
    <t>10.05.Заявка 1014 кв.4 Упал шифер с крыши дома. Осмотрено</t>
  </si>
  <si>
    <t>25.05.Заявка 1214 кв.4. В подъезде пахнет проводкой. Осмотрено, подтянуты контакты</t>
  </si>
  <si>
    <t>4 часа</t>
  </si>
  <si>
    <t>10.06.Заявка 1318а. Ремонт крыши, замена упавшего листа металлическим</t>
  </si>
  <si>
    <t>Денисов, крупич, стрежеус</t>
  </si>
  <si>
    <t>1 часа</t>
  </si>
  <si>
    <t>29.06.Заявка 1424 кв.1,2. Засор канализации, прочистка тросом со второго этажа до колодца и обратно</t>
  </si>
  <si>
    <t>30.06.Заявка 1426 кв.1. Забита канализация, пробили до колодца</t>
  </si>
  <si>
    <t>16.07.Заявка 1539 кв.4. В детской течет вода с потолка. 17.07.произведено запенивание видимых мест протекания</t>
  </si>
  <si>
    <t>23.07.Заявка 1562 кв.4. Течь воды с крыши в детской. Обследовано, обнаружен излом волны шифера. Место излома перекрыто листом шифера</t>
  </si>
  <si>
    <t>02.10.Заявка 2076 кв1, 4. Холодные батареи.Завоздушены стояки, перпуск стояков</t>
  </si>
  <si>
    <t>07.10.Заявка 2125 кв.4,1. Нет тепла в зале, спальне, перепущен стояк, сброшен воздух из отопительных приборов</t>
  </si>
  <si>
    <t>Вывоз твердых и жидких бытовых отходов и крупногабаритного мусора</t>
  </si>
  <si>
    <t>услуги автовышки 6 часов</t>
  </si>
  <si>
    <t>18.03.Заявка 652 кв.3. С восточной стороны крыши висит снежная глыба, глыба съехала с 2-мя листами шифера. Осмотрено, снего подтаял и сошел, необходимо выполнить работы по установке шифера.</t>
  </si>
  <si>
    <t>02.12.Заявка 2728. Плановые работы по закрытию слуховых окон на чердаке</t>
  </si>
  <si>
    <t>Морозов, Ерлин</t>
  </si>
  <si>
    <t>03.12.Заявка 2743. Закрепить провод на стене, установка кабель-канала</t>
  </si>
  <si>
    <t>04.12.Заявка 2773 кв.4 Нет света на 1 этаже. Замена 1 эл.лампочке</t>
  </si>
  <si>
    <t xml:space="preserve">Отчет ООО " МУК" по управлению и текущему содержанию МКД по адресу р.п.Мошково, ул.Пушкина  за  2013года </t>
  </si>
  <si>
    <t>вывоз жбо</t>
  </si>
  <si>
    <t>вывоз тбо</t>
  </si>
  <si>
    <t>очистка от снега</t>
  </si>
  <si>
    <t>услуги автовышки</t>
  </si>
  <si>
    <t>электроэнергия  моп</t>
  </si>
  <si>
    <t>почта, период.печ.</t>
  </si>
  <si>
    <t>аренда офиса</t>
  </si>
  <si>
    <t>охрана</t>
  </si>
  <si>
    <t>амортизация</t>
  </si>
  <si>
    <t>услуги банка</t>
  </si>
  <si>
    <t>содержание зданий и контор</t>
  </si>
  <si>
    <t>услуги связи</t>
  </si>
  <si>
    <t>электроэнергия</t>
  </si>
  <si>
    <t>канцтовары, мбп</t>
  </si>
  <si>
    <t>сопровождение программ</t>
  </si>
  <si>
    <t>обслуживание оргтехники</t>
  </si>
  <si>
    <t>обслуживание сайта</t>
  </si>
  <si>
    <t>членские, страховые взносы</t>
  </si>
  <si>
    <t>фот с с/с</t>
  </si>
  <si>
    <t>обслуживаемая площадь</t>
  </si>
  <si>
    <t>жбо</t>
  </si>
  <si>
    <t>тбо</t>
  </si>
  <si>
    <t>7 км дом 1</t>
  </si>
  <si>
    <t>7 км дом 2</t>
  </si>
  <si>
    <t>Пионерская 14</t>
  </si>
  <si>
    <t>Пионерская 16-18</t>
  </si>
  <si>
    <t>Пионерская 20</t>
  </si>
  <si>
    <t>Пионерская 24</t>
  </si>
  <si>
    <t>Пионерская 6/1</t>
  </si>
  <si>
    <t>Пионерская 6/2</t>
  </si>
  <si>
    <t>Пионерская  6/3</t>
  </si>
  <si>
    <t>Пионерская 6/4</t>
  </si>
  <si>
    <t>янв</t>
  </si>
  <si>
    <t>фер</t>
  </si>
  <si>
    <t>март</t>
  </si>
  <si>
    <t>апрель</t>
  </si>
  <si>
    <t>май</t>
  </si>
  <si>
    <t>июнь</t>
  </si>
  <si>
    <t>июль</t>
  </si>
  <si>
    <t>август</t>
  </si>
  <si>
    <t>сент</t>
  </si>
  <si>
    <t>окт</t>
  </si>
  <si>
    <t>нояб</t>
  </si>
  <si>
    <t>дека</t>
  </si>
  <si>
    <t>Строительная 28а</t>
  </si>
  <si>
    <t>Пушкина 2</t>
  </si>
  <si>
    <t>Пионерская 2а</t>
  </si>
  <si>
    <t>ЖБО</t>
  </si>
  <si>
    <t>электроэнергия МОП</t>
  </si>
  <si>
    <t>Пушкина 2а</t>
  </si>
  <si>
    <t>Пушкина 5а</t>
  </si>
  <si>
    <t>Пушкина 4а</t>
  </si>
  <si>
    <t>Горького 3а</t>
  </si>
  <si>
    <t>Горького 3б</t>
  </si>
  <si>
    <t>Горького 4а</t>
  </si>
  <si>
    <t>Горького 4б</t>
  </si>
  <si>
    <t>Вокзальная 17а</t>
  </si>
  <si>
    <t>Вокзальная 9а</t>
  </si>
  <si>
    <t>Вокзальная 11а</t>
  </si>
  <si>
    <t>Пионерская 2</t>
  </si>
  <si>
    <t>Пионерская 16</t>
  </si>
  <si>
    <t>Пионерская 18</t>
  </si>
  <si>
    <t>Кирова 19а</t>
  </si>
  <si>
    <t>Гагарина 1</t>
  </si>
  <si>
    <t>Гагарина 5а</t>
  </si>
  <si>
    <t>Пушкина 6а</t>
  </si>
  <si>
    <t>Пушкина 7а</t>
  </si>
  <si>
    <t>Пушкина 3а</t>
  </si>
  <si>
    <t>Пушкина 11а</t>
  </si>
  <si>
    <t>Пушкина 30а</t>
  </si>
  <si>
    <t>Пионеская 4</t>
  </si>
  <si>
    <t>Пионерская 6</t>
  </si>
  <si>
    <t>Пионерская 24а</t>
  </si>
  <si>
    <t>Гагарина 2а</t>
  </si>
  <si>
    <t>Задолженость населения за текущее содержание на 01.12.2013 года</t>
  </si>
  <si>
    <t>Начислено платежей за 12 месяцев 2013 года</t>
  </si>
  <si>
    <t>Собрано денежных средств от населения за 2013 год</t>
  </si>
  <si>
    <t xml:space="preserve"> по улице  Пушкина   за  2013 год</t>
  </si>
  <si>
    <t>Доходов по управлению и текущему содержанию жилого дома № 2 по ул.Пушкина за  2013г</t>
  </si>
  <si>
    <t>Затраты по управлению и текущему содержанию за  2013г</t>
  </si>
  <si>
    <t xml:space="preserve">09.12.Заявка 2804. При входе в подъезд, лампочка перегорела, осмотрено, все лампочки в рабочем состоянии </t>
  </si>
  <si>
    <t>Дефицит  денежных средств по жилому дому № 2 по ул.Пушкина</t>
  </si>
  <si>
    <t>содержание паспортиста</t>
  </si>
  <si>
    <t>факт.затраты на 1м2</t>
  </si>
  <si>
    <t xml:space="preserve">затраты за </t>
  </si>
  <si>
    <t>прямые затраты</t>
  </si>
  <si>
    <t>затраты с накладными расходами</t>
  </si>
  <si>
    <t>улица</t>
  </si>
  <si>
    <t>№ дома</t>
  </si>
  <si>
    <t>площадь</t>
  </si>
  <si>
    <t>Вокзальная</t>
  </si>
  <si>
    <t>9а</t>
  </si>
  <si>
    <t>11а</t>
  </si>
  <si>
    <t>17а</t>
  </si>
  <si>
    <t>Гагарина</t>
  </si>
  <si>
    <t>2а</t>
  </si>
  <si>
    <t>3а</t>
  </si>
  <si>
    <t>5а</t>
  </si>
  <si>
    <t>Горького</t>
  </si>
  <si>
    <t>3б</t>
  </si>
  <si>
    <t>4а</t>
  </si>
  <si>
    <t>лесная</t>
  </si>
  <si>
    <t xml:space="preserve">Пионерская </t>
  </si>
  <si>
    <t>24а</t>
  </si>
  <si>
    <t>Пушкина</t>
  </si>
  <si>
    <t>6а</t>
  </si>
  <si>
    <t>7а</t>
  </si>
  <si>
    <t>30а</t>
  </si>
  <si>
    <t xml:space="preserve">Строительная </t>
  </si>
  <si>
    <t>28а</t>
  </si>
  <si>
    <t>общежитие</t>
  </si>
  <si>
    <t>начислено</t>
  </si>
  <si>
    <t>ИТОГО</t>
  </si>
  <si>
    <t>перерасчет</t>
  </si>
  <si>
    <t>оплата</t>
  </si>
  <si>
    <t>элэнергия</t>
  </si>
  <si>
    <t>долг на 01.01.13г</t>
  </si>
  <si>
    <t>материалы</t>
  </si>
  <si>
    <t>Кирова</t>
  </si>
  <si>
    <t>19а</t>
  </si>
  <si>
    <t>оплата эл/эн</t>
  </si>
  <si>
    <t>Вывоз ТБО</t>
  </si>
  <si>
    <t>долг на 01.01.14</t>
  </si>
  <si>
    <t xml:space="preserve"> по улице М.Горького  за 2013 год</t>
  </si>
  <si>
    <t>с 22 по 24.01.2013  акт 1560  от 29.11.2012 , плохой напор воды кв.6 Работы по замене сети хвс</t>
  </si>
  <si>
    <t>Конюшенко, ерлин, музыченко, Денисов, овсянников</t>
  </si>
  <si>
    <t>01.03.Заявка 481 кв.1. Замена стояка канализации</t>
  </si>
  <si>
    <t xml:space="preserve">15.01.Заявка 84 кв.7. Засор канализации. Устранено, прчистили тросом </t>
  </si>
  <si>
    <t>Овсянников, Конюшенко, музыченко</t>
  </si>
  <si>
    <t>15.01.Заявка 90 кв.8. Нет света в коридоре. Замена эл.лампочек 3 шт</t>
  </si>
  <si>
    <t xml:space="preserve">25.01.Заявка 169бкв.2. Течь воды с крана на вводе. Устранено, бежало из-под шланга </t>
  </si>
  <si>
    <t>25.01.Заявка 170 кв.8. Не горит лампочка на 1 этаже. Замена 1 эл.лампочки</t>
  </si>
  <si>
    <t>20.02. Заявка 386 кв.14. При входе и на 1 этаже, нет света. Замена 10 штук лампочек</t>
  </si>
  <si>
    <t>06.05. Заявка 1054 кв.1. Нет напряжения в розетке, осмотрено, при ремонте в квартире, где-то пробили провод</t>
  </si>
  <si>
    <t>12.03.Заявка 587 во 2 подъезде на 1 этаже нет света. Замена лампочек 2 шт</t>
  </si>
  <si>
    <t>14.03.Заявка 611 кв.8. В туалете поднимается вода, прочищено тросом со 2го этажа до подвала</t>
  </si>
  <si>
    <t>Ерлин, Крупич, Стрежеус</t>
  </si>
  <si>
    <t>15.03.Заявка 620 кв.6. Бежит с потолка. С кровли сброшен снег, кровля дома нуждается в капитальном ремонте</t>
  </si>
  <si>
    <t>Денисов, Крупич, Сауков</t>
  </si>
  <si>
    <t>20.03.Заявка 669а кв.18. Очистить снег с крыши и возле дома.8.04. проведены работы по очистке от дома снега погрузчиком 1,5 часа</t>
  </si>
  <si>
    <t>01.04.Заявка 773а 2 подъезд. Произведена замена пола</t>
  </si>
  <si>
    <t>02.04. Акт 788а. Плановые работы по установке входной двери  1 подъезд</t>
  </si>
  <si>
    <t>Конюшенко, Музыченко, крупич, Кривенчук</t>
  </si>
  <si>
    <t>04.04.акт 806а. Плановый осмотр сети в подвале, протечек нет</t>
  </si>
  <si>
    <t>Крупич, ерлин</t>
  </si>
  <si>
    <t>09.04. Акт 848. " подъезд нет света, замена лампочек 3 шт</t>
  </si>
  <si>
    <t>07.05.акт 1073 кв.1. Заменить автоматы, замена автоматов 25А - 3 шт</t>
  </si>
  <si>
    <t>08.05.акт 1093. Обслуживание электрощитка, установка эл.розетки 1 шт</t>
  </si>
  <si>
    <t>15.05.акт 1123 кв.14. откачать воду от дома. 16.05.произведены работы по откачке воды в кан.колодец, уровеь упал на 15см</t>
  </si>
  <si>
    <t>09.04.акт 851 очистка отмосток от снега</t>
  </si>
  <si>
    <t>15.04.акт 897 кв.9. Нет света в подъезде. Осмотрено, из щита напряжение в квартиру поступает</t>
  </si>
  <si>
    <t>22.04.акт 967а 21-00. Нет света во всем доме. Осмотрено, работает РЭС</t>
  </si>
  <si>
    <t>27.04.акт 1010 кв.14. Покрыть крышу шифером. Осмотрено 27.04., 30.04.произведены работы по ремонту крыши</t>
  </si>
  <si>
    <t>Стрижеус, Ерлин, Денисов, Музыченко</t>
  </si>
  <si>
    <t>? Вышка</t>
  </si>
  <si>
    <t>27.04.акт 1011, кв.14, под лоджией стоит вода. Установка насоса для откачки грунтовых вод</t>
  </si>
  <si>
    <t>Ерюков, Ерлин</t>
  </si>
  <si>
    <t>27.05.акт 1153. Окачка грунтовых вод из подвала</t>
  </si>
  <si>
    <t>17.05.акт 1159. Откачка грунтовых вод из подвала</t>
  </si>
  <si>
    <t>20.05.акт 1775 кв.14. Откачка грунтовых вод  насосом</t>
  </si>
  <si>
    <t>21.05.акт 1178 кв.8. Сломан выключатель на 1 этаже. Ремонт выключателя.</t>
  </si>
  <si>
    <t>28.05.акт 1207 кв.6. Течет крыша. Промазка герметиком с крыши и чердака</t>
  </si>
  <si>
    <t>Стрижеус, Денисов</t>
  </si>
  <si>
    <t>26.05.акт  1217 кв.14. Запах канализации в подвале. Откачали воду из подвала, составили акты</t>
  </si>
  <si>
    <t>27.05.акт 1224 кв.8. Нет света  в подъезде. Замена эл.лампочек 3 шт</t>
  </si>
  <si>
    <t>28.05.акт 1239. кв.8. Течь из трубы в подъезде.(18-00) Устранено</t>
  </si>
  <si>
    <t>Конюшенко, Крупич, Кривенчук</t>
  </si>
  <si>
    <t>14.06.акт 1342 .Нет света в коридоре и тамбуре. Замена лампочек 4 шт</t>
  </si>
  <si>
    <t>14.06.акт 1344 кв.2. В туалете течет вода. Осмотрено, требуется перепаять тройник с краном на стояке, устранено</t>
  </si>
  <si>
    <t>17.06.акт 1361 кв.16. На кухне и ванной нет воды, а в туалете в бачке бежит непрерывно. Осмотрено, устранили сами</t>
  </si>
  <si>
    <t>24.06.акт 1393 кв.7. Забита канализация, прочищено</t>
  </si>
  <si>
    <t>Денисов, крупич</t>
  </si>
  <si>
    <t>14.06.акт 1341 кв 8,14. Сильный запах канализации в квартире. Осмотрено, вода стоит, составлен акт с представителями администрации</t>
  </si>
  <si>
    <t>17.06.акт 1406 откачка воды из подвала насосом</t>
  </si>
  <si>
    <t>21.06. состален акт, уровень воды не поднимается</t>
  </si>
  <si>
    <t>09.07.Акт 1485 кв 15,16. Засор канализации. Прочищено</t>
  </si>
  <si>
    <t>Музыченко, Крупич, Денисов</t>
  </si>
  <si>
    <t>09.07. акт 1486 кв.8. Не горит лампочка во 2 подъезде.  Замена 1 лампочки 10.07.</t>
  </si>
  <si>
    <t>11.07.акт 1495 кв.5. выбивает автомат, в щите запах проводки. Подтянуты контакты автомата, требуется замена 2х автоматов с 16А на 25А</t>
  </si>
  <si>
    <t>15.07.акт 1507 нет света во 2 подъезде. Замена 2х лампочек</t>
  </si>
  <si>
    <t>30.07.акт 1589 кв.16. В туалете , где стык труб внизу капет. Осмотрено, подтекает кран на стояке, кран заменен</t>
  </si>
  <si>
    <t>30.07.акт 1591 кв.5. Поменять пакетник, выбивает автомат. Замена автомата</t>
  </si>
  <si>
    <t>19.08.акт 1691 кв.8 Нет света во 2 подъезде. Замена лампочек 4 шм</t>
  </si>
  <si>
    <t>23.08.акт 1706  2 этаж и на входе нет света. Замена лампочек 3 шт</t>
  </si>
  <si>
    <t>26.08.акт 1716 кв.14. Сильный запах канализации из под лоджии. Установка насоса для откачки грунтовых вод из подвала, произведена откачка вод 29.08.. 30.08. Вода откачена. 30.08. - произведена дезинфекция техподполья</t>
  </si>
  <si>
    <t xml:space="preserve">28.08.акт 1828 кв.10. Протекает крыша со стороны балкона  по всей стене. Осмотрено на чердаке выявлено место протекания. В сухую погодц 29.08. проведено обследование кровли. </t>
  </si>
  <si>
    <t>05.09. акт 1823 кв.10. Ремонт кровли(запенена часть листа шифера в месте протекания) Изготовлена конструкция для выхода на кровлю</t>
  </si>
  <si>
    <t>Денисов, матузов</t>
  </si>
  <si>
    <t>05.09.акт 1817 кв.14. Откачка воды из техподполья и дезинфекция дезраствором "Дистроф"</t>
  </si>
  <si>
    <t>Денисов, Морозов</t>
  </si>
  <si>
    <t xml:space="preserve">04.09.акт 1809. Ревизия щитов. Установка  СЖИМ-8 шт, замена  автоматов 40А - 5 шт, 25А-9 шт, СИЗ-2 - 10 шт, </t>
  </si>
  <si>
    <t>09.09.акт 1850 кв.8. В ванной стоит вода. Прочищено тросом канализация в квартире</t>
  </si>
  <si>
    <t>23.09.акт 1955 кв.8. Нет света в подъезде. Ремонт патрона, замена лампочек 4шт</t>
  </si>
  <si>
    <t>25.09.акт 1970. кв.14. Откачать воду. Грунтовые воды в техподполье, установлен насос в 9 часов, насос снят в 14-30. Вода откачена. Произведена дезинфекция дезраствором.</t>
  </si>
  <si>
    <t>26.09.акт 1995 кв.1. Нет света на крыльце. Замена эл.лампочек 3 шт.</t>
  </si>
  <si>
    <t>01.10.акт 2050. Произведена установка пружин на двери</t>
  </si>
  <si>
    <t>01.10.Акт 2053 кв.14. Откачать воду, устранить утечку воды в подвал.</t>
  </si>
  <si>
    <t>02.10. Установили эл.насос для откачки грунтовых вод из тех подполья в 9-00, в 16-00 отключен насос. Поступления воды  из сетей хвс и канализационных сетей  в техпродполье нет. Проведена дезинфекция техподпорлья</t>
  </si>
  <si>
    <t>Морозов, Ерлин, Конюшенко, Музыченко</t>
  </si>
  <si>
    <t xml:space="preserve">26.09. Акт 2054 кв.1 Порог на крыльце высокий . Уложена плита на порог 1 подъезда </t>
  </si>
  <si>
    <t>01.10.акт 2055 2 подъезд. Уложена бетонная плита на порого 2 -го подъезда</t>
  </si>
  <si>
    <t>17.10. Акт 2243, 2 и 3 подъезд, произведено остекление и установка поликарбаната.</t>
  </si>
  <si>
    <t>23.10.Акт 2253 кв.14. Откачать яму под лоджией, отремонтировать крышу. Поставлен насос для откачки грунтовых вод в 9-00 из техподполья, произведена откачка  и дезенфикация подвала. Течей в подвале не обнаружено.</t>
  </si>
  <si>
    <t>23.10. Акт 2254 кв.14. Нет света в тамбуре. Замена лампочек 2 шт</t>
  </si>
  <si>
    <t>06.11.Акт 2340 кв.8. Нет света на крыльце, в тамбуре, 2 этаже. Замена 4 лампочек</t>
  </si>
  <si>
    <t>19.11.Акт 2592 кв.14. Сильный запах канализации. Произведена откачка грунтовых вод из техподполья насосом с 9-00 до 16-00. Вода откачена</t>
  </si>
  <si>
    <t>19.11.Акт 2593 кв.14. Перегорела лампочка в тамбуре 3 подъезд. Осмотрено, все лампочки горят</t>
  </si>
  <si>
    <t>13.12.Акт 2848 кв 14. Запах канализации в квартире. Проведена дезинфекция подъезда дез.средством</t>
  </si>
  <si>
    <t>13.12.Акт 2853 кв.15. Засор канализации. Прочищен с чердака стояк канализации.</t>
  </si>
  <si>
    <t>13.12.Акт 2879. Нет света в 3 тамбуре. Замена лампочек 2 шт</t>
  </si>
  <si>
    <t>27.12.Акт 2917 кв.1. Голая труба в подъезде. Проведено утепление лежака отопления в подъезде</t>
  </si>
  <si>
    <t>20.12.Акт 2928  18-55 .,кв15,18. Топит кв 15 кв18. Пробивка тросом стояка канализации</t>
  </si>
  <si>
    <t>Ерлин, Морозов</t>
  </si>
  <si>
    <t>22.12. Акт 2940 кв 15,16. Засор канализации в квартире. Прочищено</t>
  </si>
  <si>
    <t>19.12.Акт 2943 кв.14. Запах канализации в подъезде. Прочищено тросом из подвала до колодца. Произведена откачка воды из техподполья, утечек из инженерных сетей в техподполье не выявлено</t>
  </si>
  <si>
    <t>Ерлин, Денисов, Матузов</t>
  </si>
  <si>
    <t>25.12. Акт 2980 кв.14. В квартире пахнет канализацией. Откачка грунтовых вод из техподполья. Произведена дезинфикация дез.средствами подъезда и  техподполья</t>
  </si>
  <si>
    <t xml:space="preserve">Отчет ООО " МУК" по управлению и текущему содержанию МКД по адресу р.п.Мошково,                                      ул.Горького 3Б за  2013 год </t>
  </si>
  <si>
    <t xml:space="preserve">Начислено платежей за текущее содержание </t>
  </si>
  <si>
    <t>Общая задолженность населения на 01.01.2014</t>
  </si>
  <si>
    <t>Доходов по управлению и текущему содержанию жилого дома № 3б по ул.М.Горького за  2013</t>
  </si>
  <si>
    <t>начислено за установку ОПУ</t>
  </si>
  <si>
    <t>Оплата за элэнергию МОП</t>
  </si>
  <si>
    <t>Оплата за установку ОПУ (Электросчетчик)</t>
  </si>
  <si>
    <t>Задолженность за текущее обслуживание на 01.01.2013 года</t>
  </si>
  <si>
    <t>Затраты по управлению и текущему содержанию за 2013 год</t>
  </si>
  <si>
    <t>Дефицит   денежных средств по жилому дому № 3б по ул.М.Горького</t>
  </si>
  <si>
    <t>затраты за 2013 год (руб)</t>
  </si>
  <si>
    <t>факт.затраты руб/1м2/мес</t>
  </si>
  <si>
    <t>факт.затраты руб/м2/мес</t>
  </si>
  <si>
    <t>погрузчик 8.04.2013 г - 1,5 часа</t>
  </si>
  <si>
    <t>31.01.Акт 237 кв.2. Очень плохой напор воды. Осмотрено, требуется замена крана в туалете ана стояке хвс, требуется замена стояка</t>
  </si>
  <si>
    <t>12.02.Акт 311. Замена стояка хвс и частично лежака  в кв.2,5</t>
  </si>
  <si>
    <t>05.03.Акт 513 кв 1,2. Прочистить канализацию. Прочищено тросом из квартиры до колодца.</t>
  </si>
  <si>
    <t>17.01.Акт 118.  Убрать шапки снега сподъездов, шапки убраны</t>
  </si>
  <si>
    <t>25.02.Акт 427 кв.8. Убрать снег с крыши, снег убран (работли 4 дня)</t>
  </si>
  <si>
    <t>19.03.Акт 662 кв.15. Нет света в квартире. Замена пакетного выключателя 21-30</t>
  </si>
  <si>
    <t>21.03.Акт 681 кв.3. Нет света при входе в подъезд и патрона нет. Осмотрено, требуется установка светильника</t>
  </si>
  <si>
    <t>21.03.Акт 685 кв.11. Нет света в зале, на кухне. Осмотрено, выбило автомат, устранено</t>
  </si>
  <si>
    <t>27.03.Акт 723. Очистка козырьков от снега</t>
  </si>
  <si>
    <t>03.04.Акт 797 . Нет света в подъезде. Замена лампочек 2 шт</t>
  </si>
  <si>
    <t>04.04.Акт 812. Осмотр техподполья. Осмотрено, техподполье сухое</t>
  </si>
  <si>
    <t>09.04.Акт 852 Очистка отмосток от снега</t>
  </si>
  <si>
    <t>18.04.Акт 932 кв.11. Выбивает автомат. Замена автомата 1 шт</t>
  </si>
  <si>
    <t>11.04. Акт 874 кв.11. Нет света в подъезде. Заявка отменена</t>
  </si>
  <si>
    <t>31.05.Акт 1256 кв.3. Нет света  на крыльце и в подъезде. Замена 2 лампочек</t>
  </si>
  <si>
    <t>03.06.Акт 1263 кв.12. Подкапывает кран на стояке хвс. Устранено, замена крана на стояке</t>
  </si>
  <si>
    <t>03.06.Акт 1264 кв.12. Поставить розетку, установлено</t>
  </si>
  <si>
    <t>25.06.Акт 1404 кв.9. Сыреет угол в ванной комнате. Осмотрено, необходим доступ в кв 16.</t>
  </si>
  <si>
    <t>02.07.Акт 1440 кв.9. Нет света в среднем подъезде. Замена 2 лампочек</t>
  </si>
  <si>
    <t>16.07.Акт 1520 кв.10. Потекла крыша между балконом и кухней. Осмотрено, сдвинут лист шифера порывом ветра, вырвало гвозди из обрешетки. Лист установлен на место, закреплен</t>
  </si>
  <si>
    <t>23.07.Акт 1558 кв.12. Замена крана для перекрытия воды на стояке хвс</t>
  </si>
  <si>
    <t xml:space="preserve">4.08.Акт 1634 кв.17. Течь воды с крыши в подъезде, где люк. Обследовано, упавшая антенна пробила шифер. </t>
  </si>
  <si>
    <t>20.08.Акт 1687 кв.16. С крыши залило натяжной потолок. Обследовано, из-за ветхой кровли произошло затекание воды на чердак и в квартиру, сдвинуты листы шифера</t>
  </si>
  <si>
    <t>14.08.Акт 1691 кв.3. В 1 подъезде неиспрален патрон. Замена лампочек 4 шт, ремонт выключателя</t>
  </si>
  <si>
    <t>17.09.Акт 1895. Течь холодной воды под площадкой. Заменены трубы 4 м д32, 1,5 м д25.</t>
  </si>
  <si>
    <t>26.09.Акт 2015 кв.7,10,8,11. Холодной стояк . Перепуск стояка</t>
  </si>
  <si>
    <t xml:space="preserve">03.10.Акт 2082 кв.9. Забита канализация. Прочистка тросом из колодца до дома. </t>
  </si>
  <si>
    <t>14.10.Акт 2185 кв.9. Забита канализация в подвале. Прочищено тросом из колодца в дом. Проведена дезенфикация техподполья</t>
  </si>
  <si>
    <t>17.10.Акт 2242 3 подъезд. Остекление оконых рам в 3-м подъезде.</t>
  </si>
  <si>
    <t>28.10.Акт 2306  кв.4. Не держит автомат при включении электроплиты. Замена автомата 25А 1шт</t>
  </si>
  <si>
    <t>31.10.Акт 2524 кв.11. Установить выключатель в общ.коридоре, не пустили в подъезд</t>
  </si>
  <si>
    <t>12.11.Акт 2525 кв.3. Нет света в подъезде. Замена лампочек 2 шт</t>
  </si>
  <si>
    <t>Доходов по управлению и текущему содержанию жилого дома № 4а по ул.М.Горького за  2013</t>
  </si>
  <si>
    <t>Экономия  денежных средств по жилому дому № 4а по ул.М.Горького</t>
  </si>
  <si>
    <t>услуги автовышки 3 часа</t>
  </si>
  <si>
    <t xml:space="preserve">Отчет ООО " МУК" по текущему содержанию мест общего пользования МКД по адресу р.п.Мошково, ул.Пушкина 2 за  2013года </t>
  </si>
  <si>
    <t>05.01.Заявка18  кв.3. Не горит свет в подъезде, замена 3 лампочек</t>
  </si>
  <si>
    <t>19.01.Заявка 131, кв.3. В подвале прорвало трубу, устранено</t>
  </si>
  <si>
    <t>09.03.Заявка 551 кв.18. Холодные батареи в квартире. Перепуск стояков</t>
  </si>
  <si>
    <t>09.03.Заявка 553 кв.15. Холодные батареи в квартире.10,03 Перемерзла труба на чердаке по стояку. Отогрев, отопление по стояку запущено</t>
  </si>
  <si>
    <t>09.03.Заявка 553а кв.18. Холодные батареи в квартире.10,03 Перемерзла труба на чердаке по стояку. Отогрев, отопление по стояку запущено</t>
  </si>
  <si>
    <t xml:space="preserve">03.04.Заявка 790 2 подвал. Засор канализации. </t>
  </si>
  <si>
    <t>04.04.Акт 808а. Плановый осмотр подвалов. Осмотрено, подвал сухой, протечек нет</t>
  </si>
  <si>
    <t xml:space="preserve">19.04.Заявка 946 кв.13. Запах канализации в квартире. Канализация работает исправно </t>
  </si>
  <si>
    <t>05.05.Заявка 1046 кв.4. Течет крыша в зале и на кухне. Осмотрено, не сработал клапан, есть сырость под клапаном.</t>
  </si>
  <si>
    <t>01.07.Акт 1437 кв.3. Нет света  при входе и в подъезде. Замена 3 лампочек</t>
  </si>
  <si>
    <t>03.07.Акт 1448 кв 1,5. Откачать воду из подвала. Откачка воды и прочистка сетей канализации 4 .07.</t>
  </si>
  <si>
    <t>19.07.Акт 1487 Засор канализации в подвале, Прочищено</t>
  </si>
  <si>
    <t>05.08.Акт 1636 кв.5. После дождя мокрая стена в зале и спальне, Обследовано, необходимо уплотнить последний ряд шифера</t>
  </si>
  <si>
    <t>14.08.Акт 1688 кв.5. С крыши льет вода по наружней стене. С чердака на место сломанного шифера уложено 6 листов профнастила</t>
  </si>
  <si>
    <t>21.08.Акт 1696 кв.11. Нет света на 2 этаже. Ремонт патрона</t>
  </si>
  <si>
    <t>26.08.Акт 1725 кв.12 На 2 м этаже нет света, не исправлен патрон. Замена патрона 1 шт, лампочка 1 шт</t>
  </si>
  <si>
    <t>04.09.Акт 1810 кв.13. № подъезд открыт люк. Произведена замена лаза на чердак, люк закрыт на замок</t>
  </si>
  <si>
    <t>04.09.Акт 811 кв.13. 2 подъезд нет света . Замена лампочек 5 шт</t>
  </si>
  <si>
    <t>09.10.Акт 1845 кв.17. Засор канализации, прочистка тросом системы канализации в кв.17, неправильно установлен унитаз.</t>
  </si>
  <si>
    <t>12.09.Акт 1864 кв.1. В подвале стоит вода. Грунтовые воды в подвале № 2 , вода спущена в канализацию</t>
  </si>
  <si>
    <t>17.09.Акт 1894 . Течь водопровода в 1 подвале. Проведена замена 1,5 м трубы д25</t>
  </si>
  <si>
    <t>19.09.Акт 1915 кв.3.1 подъезд нет света на улице и при входе на этаж, замена лампочек 2 шт</t>
  </si>
  <si>
    <t>24.09.Акт 1965 кв.6. Лопнула труба в подвале. Сломана труба д50мм, кухонного стояка канализации, замена трубы</t>
  </si>
  <si>
    <t>25.09.Акт 1987 кв 4,3,5. Нет светат в квартире. Осмотрено, нет напряжения в общем щите. Вызвали РЭС</t>
  </si>
  <si>
    <t>25.09.Акт 2012 кв.5. , кв.17. Холодные батареи. Перепущены стояки</t>
  </si>
  <si>
    <t>26.09.Акт 2017 кв.14. Холодно на кухне. Спустили воздух на чердаке</t>
  </si>
  <si>
    <t>28.09.Акт 2022 кв 14. Холодные батареи в зале. В чугунных радиаторах, нет устройств для сброса воздуха. Перепущены стояки</t>
  </si>
  <si>
    <t>29.09.Акт 2025 кв.5. Течь воды в спальне с потолка и в зале из под системы отопления. Обследовано, поступает вода в квартиру с кровли.</t>
  </si>
  <si>
    <t>30.09.Акт 2043 кв.8. Сильный запах канализации. Утечек в техподполье не обнаружено, кроме как из кв.9. Причина не установлена</t>
  </si>
  <si>
    <t>30.09.Акт 2044 1 подъезд. Нет света на 1 этаже. Замена лампочки</t>
  </si>
  <si>
    <t>02.10.Акт 2060 кв.5. Во всех комнатах холодные батареи. Перепуск стояков на отоплении</t>
  </si>
  <si>
    <t xml:space="preserve">02.10.Акт 2061 кв.17. Холодные батареи, стояки. Перепуск стояков </t>
  </si>
  <si>
    <t>03.10.Акт 2070 кв.6. Нет тепла в квартире. Перепуск стояков на чердаке</t>
  </si>
  <si>
    <t>04.10.Акт 2083 кв.5. Холодные батареи на кухне и в зале. Завоздушены стояки, перепущены стояки во всем доме.</t>
  </si>
  <si>
    <t>06.10.Акт 2105 кв.18,15.Холодный стояк в спальне. Спущен воздух на чердаке</t>
  </si>
  <si>
    <t xml:space="preserve">08.10. Акт 2136 кв.6. Холодные стояки. Перепуск стояков на чердаке - воздух. </t>
  </si>
  <si>
    <t>18.10.Акт 2222 кв.6. Отключить воду, поменять фильтр. Выполнено</t>
  </si>
  <si>
    <t>17.10.Акт 2241 Плановые работы по остеклению 1,3 подъездов, ремонт оконных рам, остекление</t>
  </si>
  <si>
    <t>22.10.Акт 2251 кв.15. Холодные стояки. Перепущен стояк отопления на чердаке</t>
  </si>
  <si>
    <t>30.10.Акт 2288 кв.18. Завоздушена угловая комната. Перепян стояк отопления, перепущены все стояки</t>
  </si>
  <si>
    <t>30.10.Акт 2293 кв.5. В зале с потолка капает вода.Обследование , поломан шифер на кровле.</t>
  </si>
  <si>
    <t>31.10.Акт 2295 кв.5.Положен лист шифера над кв.5. Изготовлена лестница для выхода на кровлю</t>
  </si>
  <si>
    <t>31.10.Акт 2309 кв.3. Нет света в подъезде и при входе в подъезд. Замена 3х лампочек</t>
  </si>
  <si>
    <t>24.10.Акт 2490 кв.3. Нет света на крыльце и в подъезде. Замена лампочек 2 шт</t>
  </si>
  <si>
    <t>21.11.АКТ 2610 кв.18,15. Холодные батареи, перепущены стояки на чердаке</t>
  </si>
  <si>
    <t>26.11.Акт 2689 кв.11. Нет света на крыльце и на 2м этаже. Замена эл.лампочек</t>
  </si>
  <si>
    <t>26.11.Акт 2653 кв.11. Сильный запах канализации из подвала. Засор кухонной канализации, прочищено</t>
  </si>
  <si>
    <t>26.11.Акт 2654. Изготовление и установка слуховых окон на чердаке.</t>
  </si>
  <si>
    <t>29.11. Акт 2729 кв 4,5 Заштукатурить дверь проема после установки домофона, оштукатуривание цементным раствором дверного проема</t>
  </si>
  <si>
    <t>04.12. Акт 2763 кв.18. Холодные батареи, перепущено стояки, все стояки проверены</t>
  </si>
  <si>
    <t>06.12. Акт 2788. Осмотр тепловых сетей на чердаке</t>
  </si>
  <si>
    <t>06.12. Акт 2831 кв.3. 1 подъезд нет света в коридоре. Замена лампочки</t>
  </si>
  <si>
    <t>11.12. Акт 2832 кв.3. На 1 этаже перегорела лампочка. Ремонт патрона, замена лампочек 3 шт</t>
  </si>
  <si>
    <t>13.12.Акт 2844 кв.15 Завоздушены батареи в детской. Стояк перепущен</t>
  </si>
  <si>
    <t>13.12.Акт 2851 кв.17. Холодные батареи, перпуск стояков</t>
  </si>
  <si>
    <t>13.12.Акт 2852  кв.4. Холодные батареи. Перпуск стояков</t>
  </si>
  <si>
    <t>18.12.Акт 2906 кв.6. Холодный змеевик в ванной. Осмотрено, работы не выполнены, необходим доступ к комуникациям  в ванной комнате</t>
  </si>
  <si>
    <t>18.12. Акт 2909 кв.17. Нет света в подъезде. Замена лампочек 3 шт</t>
  </si>
  <si>
    <t>19.12. Акт 2913 кв.6. Нет воды в ванной, осмотрено, открыт кран на стояке</t>
  </si>
  <si>
    <t>20.12. Акт 2918 кв.18. Холодные батареи. Перепущено, осмотрено, требуется промывка батареи</t>
  </si>
  <si>
    <t>31.12.Акт 2958 кв.3. При входе в подъезд не горит лампочка. Замена лампочек 2шт</t>
  </si>
  <si>
    <t>31.12. Акт 2960. Плановый осмотр верхней разводки отопления по чердаку, утепление сбросников</t>
  </si>
  <si>
    <t>выполненных работ по управлению и обслуживанию ООО "МУК"  жилого дома   № 3а по улице М.Горького  за  2013 год</t>
  </si>
  <si>
    <t>Доходов по управлению и текущему содержанию жилого дома № 3а по ул.М.Горького за  2013</t>
  </si>
  <si>
    <t>Дефицит   денежных средств по жилому дому № 3а по ул.М.Горького</t>
  </si>
  <si>
    <t>15.11.Акт 2569 кв 15,18. Холодные стояки. Перепущены стояки на чердаке</t>
  </si>
  <si>
    <t>Отчет за период за 2013г.</t>
  </si>
  <si>
    <t>Электроснабжение и электротехнические устройства</t>
  </si>
  <si>
    <t>Вывоз ТБО, ЖБО, уборка придомовой территоррии и контейнерной площадки</t>
  </si>
  <si>
    <t>03.01.Акт 10 кв.5. Забита канализация, устранено</t>
  </si>
  <si>
    <t>09.01.Акт 40 Засор смотровых колодцев. Прочищено тросом</t>
  </si>
  <si>
    <t>16.01.Акт 110 Забита канализация на улице, ведущая к выгребной яме. Прочищено</t>
  </si>
  <si>
    <t>23.01.Акт 157.Засор смотровых колодцев. Прочищено тросом до емкости</t>
  </si>
  <si>
    <t>31.01.Акт 233 кв.16.Забита канализация. Прочищено тросом из подвала через колодцы до емкости</t>
  </si>
  <si>
    <t>01.02.Акт 242 кв.17. Течь канализации в подвале. Засор канализации, устранено, прочищено до колодца</t>
  </si>
  <si>
    <t>02.02.Акт 251 кв.16. В подвале бежит канализация, прочищено</t>
  </si>
  <si>
    <t>08.02.Акт 281 В 3м подвале бежит вода. Засор канализации, прочищено тросом из подвала через колодец до емкости</t>
  </si>
  <si>
    <t>12.02. Акт 315 Из люка через верх течет вода. Устранено, пробито до емкости</t>
  </si>
  <si>
    <t>20.02.Акт 380 кв.1. Засор канализации. Прочистка тросом из подвала через колодец до емкости</t>
  </si>
  <si>
    <t>22.02.Акт 398 Осмотр канализации. Нарушений работы канализации не выявлено</t>
  </si>
  <si>
    <t>28.02.Акт 453.Осмотр дома. Нарушений работы системы канализации не обнаружено</t>
  </si>
  <si>
    <t>02.03.Акт 488 кв.5. Подтекание в подвал из помежуточного колодца. Устранено, прочищено до емкости</t>
  </si>
  <si>
    <t>04.03.Акт 499 кв.20. В подвале бежит канализация, прочищено тросом из подвала через колодцы до емкости</t>
  </si>
  <si>
    <t>07.03.Акт 544. Осмотр канализации. Осмотрено, прочищено</t>
  </si>
  <si>
    <t>10.03.Акт 555 кв.3. Засор канализации, прочищено из подвала через колодцы до емкости</t>
  </si>
  <si>
    <t>10.03.Акт 556 кв.4,3. (16-35) Забита канализация в ванне поднимается вода. Прочищено тросом в подвале и по лежаку</t>
  </si>
  <si>
    <t>11.03.Акт 562 Осмотр подвалов. Осмотрено, инженерные сети в порядке</t>
  </si>
  <si>
    <t>11.03.Акт 580 кв.1. (20-45). Засор канализации в ванной. Прочищено</t>
  </si>
  <si>
    <t>13.03.Акт 597 кв.3. Нет света при входе в подъезд, в коридоре. Замена лампочек 6 шт</t>
  </si>
  <si>
    <t>20.03.Акт 664 кв.5. Переполнен промежуточный колодец. Прочищено тросом из колодца до емкости</t>
  </si>
  <si>
    <t>21.03.Акт 683 кв.1. Засор канализации. Осмотрено, требуется откачать емкость</t>
  </si>
  <si>
    <t>14.03.Акт 609 кв.5. Засор канализации, прочищено тросом из подвала через колодцы до емкости</t>
  </si>
  <si>
    <t>Ерлин, Крупич, Стрижеус</t>
  </si>
  <si>
    <t>24.03.Акт 703 кв.5. (18-00). Переполнен промежуточный колодец. Прочистили</t>
  </si>
  <si>
    <t>27.03.Акт 725 (17-30) Стоит канализация промежуточная. Пробили канализацию</t>
  </si>
  <si>
    <t>02.04.Акт 185. Осмотр канализации. Осмотрено, протечек не обнаружено.</t>
  </si>
  <si>
    <t>05.04.Акт 831. Осмотр канализации. Осмотрено</t>
  </si>
  <si>
    <t>10.04.Акт 866. Осмотр канализации. Осмотрено, требуется откачка сточных вод, бежит через верх</t>
  </si>
  <si>
    <t>11.04.Акт 877 Осмотр подвалов, осмотр кровли. При осмотре выявлена течь холодной воды, установили хомуты, течь устранили</t>
  </si>
  <si>
    <t>12.04.Акт 882 кв.20. Сошел снег скрыши вместе с листом. Осмотрено, для замены листов необходима вышка</t>
  </si>
  <si>
    <t xml:space="preserve">12.04.Акт 886. Осмотр канализации, пробивка сетей </t>
  </si>
  <si>
    <t>26.04.Акт 1005. Засор канализации. Прочищено тросом до емкости</t>
  </si>
  <si>
    <t>03.05. Акт 1042 (21-05), засор канализации, прочистили</t>
  </si>
  <si>
    <t>07.05.Акт 1069 кв.1.Засор канализации. Прочистили</t>
  </si>
  <si>
    <t>08.05.Акт 1100 кв.16 Нет света в подъездах. Замена лампочек 4 шт.</t>
  </si>
  <si>
    <t>08.05.Акт 1082 (9-00) Осмотр подвалов. Осмотрено</t>
  </si>
  <si>
    <t>08.05.Акт 1099 кв.1( 14-00). Засор канализации. Прочищено тросом из подвала до колодца</t>
  </si>
  <si>
    <t>08.05.Акт 1102 кв.1.(18-45). Засор канализации в квартире. Прочищено тросом из подвала до колодца</t>
  </si>
  <si>
    <t xml:space="preserve">09.05.Акт 1106 кв.1. (8-20) Стоит вода в ванной и туалете. Произведена разборка труб системы канализации в подвале, чистка труб, обратная сборка </t>
  </si>
  <si>
    <t>21.05.Акт 1183. Нет света в подъездах. Замена лампочек 4 шт</t>
  </si>
  <si>
    <t>12.06.Акт 1329 кв.3. (21-45) Засор канализации вподвале. 13.06.Пробивка тросом с колодца до выгребной емкости 20м</t>
  </si>
  <si>
    <t>22.06.Акт 1387. Засор канализации.  Устранено, прочищено до колодца</t>
  </si>
  <si>
    <t>28.06. Акт 1418. Осмотр канализации. Осмотрено, нарушений работы канализационной системы не обнаружено</t>
  </si>
  <si>
    <t>03.07.Акт 1457 кв.3.(18-00)Течь канализации из люка, устранено</t>
  </si>
  <si>
    <t>16.07.Акт 1519 кв.5. Течь через край промежуточного колодца (забит -течет вдольдома). Прочищено</t>
  </si>
  <si>
    <t>23.07.Акт 1556 кв.16. Засор канализации. Прочищено из колодца до подвала и обратно</t>
  </si>
  <si>
    <t>30.07.Акт 1590 кв.20. В подвале журчит вода. Осмотр канализации в подвале, прочищено тросом из колодца по подвалу.</t>
  </si>
  <si>
    <t>09.08.Акт 1665.Засор канализации. Пробивка тросом из колодца до емкости</t>
  </si>
  <si>
    <t>17.08.Акт 1670 кв.3. С малого люка течет канализация на улицу. Пробивка тросом системы канализации из колодца до ямы - (посторонние предметы)</t>
  </si>
  <si>
    <t>19.08.Акт 1678.Засор канализации. Пробивка тросом из смотрового колодца до ямы (посторонние предметы)</t>
  </si>
  <si>
    <t>20.08.Акт 1694 кв.23. Протекает крыша. Обследовано, затекает вода на чердак через подложку из рубероида. Рубероид уложен на место, пропенен</t>
  </si>
  <si>
    <t>22.08.Акт 1704 кв.1 (21-00).Канализация забита в ванной и унитазе, бежит канализация из люка. Прочистка тросом системы канализации от колодца до ямы (посторонние предметы)</t>
  </si>
  <si>
    <t>23.08.Акт 1707. Засор канализации. Прочистка тросом системы канализации от колодца № 1 до ямы выгребной (посторонние предметы)</t>
  </si>
  <si>
    <t>25.08.Акт 1714 кв.1. Забита канализация в подвале. Продавка тросом канализации в из колодца до ямы, разборка и сбор канализации</t>
  </si>
  <si>
    <t>26.08. Акт 1718. Засор канализации. Продавка тросом выгреба из дома до колодца</t>
  </si>
  <si>
    <t>27.08.Акт 1728 кв.1.  (9-30) Забита канализация . Пробивка тросом лежаков, выпусков из дома и  из колодца до ямы (посторонние предметы)</t>
  </si>
  <si>
    <t>27.08. Акт 1735 (10-00). Забита канализация. Проведена замена лежака канализации в подвале 6 п.м. Засор устранен</t>
  </si>
  <si>
    <t>04.09.Акт 1807. Засор канализации. Пробивка тросом из колодца до выгребной ямы (посторонние предметы)</t>
  </si>
  <si>
    <t>04.09. Акт 1819 кв.3. На 1 этаже нет света. Замена лампочек 7 шт</t>
  </si>
  <si>
    <t>09.09.Акт 1844. Засор канализации. Пробивка тросом из колодца до ямы</t>
  </si>
  <si>
    <t>10.09.Акт 1859. Ревизия эл.щитов. Протяжка контактов, замена автомата 40А -2шт</t>
  </si>
  <si>
    <t>18.09.Акт 1902 кв.20. 3 подъезд, течет вода в подвал, Установлено два хомута  на магистральный водовод в 3 подвале.</t>
  </si>
  <si>
    <t>20.09.Акт 1928. Забита канализация. Прочищено тросом из подвала через колодец до емкости</t>
  </si>
  <si>
    <t>25.09.Акт 1978. Перепустить стояки. Спущен воздух из системы отопления на чердаке со всех стояков</t>
  </si>
  <si>
    <t>25.09. Акт 1971 кв.1.Течь воды в подвале. Течь трубы хвс в 1 подвале, установлен хомут на трубу хвс д 40</t>
  </si>
  <si>
    <t>2509.Акт 2005 кв5,24,14. Холодные стояки. Перепуск стояков</t>
  </si>
  <si>
    <t xml:space="preserve">04.10. Акт 2096 . Стоит канализация в подвале. Забита канализация между колодцем и домом. Прочищено тросом. </t>
  </si>
  <si>
    <t>08.10. Акт 2127 кв.23. Засор канализации в квартире. Прочищено тросом и промыт сифон в ванной</t>
  </si>
  <si>
    <t>07.10. Акт 2128 кв.18. Холодная батарея на кухне. Перепущен воздух, пролеты стоят, кухонный стояк - нет циркуляции</t>
  </si>
  <si>
    <t>18.10.Акт 2225 Засор канализации. Прочищено тросом из колодца до выгребной ямы.</t>
  </si>
  <si>
    <t>18.10.Акт 2226 . Нет света в подъездах. Замена 2 лампочек</t>
  </si>
  <si>
    <t>08.10.Акт 2134 кв 16,18. Холодные батареи. Произведена ревизия запорных устройств (кранов) на стояках. Перепущены стояки</t>
  </si>
  <si>
    <t>08.10. Акт 2150 кв.19. Холодные стояки. Проведена ревизия входных кранов на стояках, перепущены стояки на чердаке -09.03.</t>
  </si>
  <si>
    <t>08.10. Акт 2151 кв 22. Не прогреваются полностью батареи в комнатах. Проведена ревизия входного крана на стояках, перепущены стояки на чердаке. 09.10.</t>
  </si>
  <si>
    <t>31.10.Акт 2308 кв.3. Нет света в подъезде. Замена 2х ламп</t>
  </si>
  <si>
    <t>08.11.Акт 2469.Осмотр систем канализации. Прочищено из колодца до емкости</t>
  </si>
  <si>
    <t>11.11.Акт 2482 № подъезд в подвале бежит канализация. Прочищено тросом из колодца 2 в дом</t>
  </si>
  <si>
    <t>13.11. Акт 2538 (20-30).кв.20  Течь канализации в подвале, запах канализации. Прочищено тросом из колодца до дома</t>
  </si>
  <si>
    <t>15.11. Акт 2567 Засор канализации. Прочищено тросом до емкости из колодца №2</t>
  </si>
  <si>
    <t>19.11.Акт 2580 кв.2. В подвале засор канализации. Обследовано, замечаний в подвале по работе канализации не обнаружено</t>
  </si>
  <si>
    <t>19.11.Акт 2591 кв.20.(19-10) Третий подвал стоит канализация. Прочистка тросом выпуска из дома до колодца и из колодца до ямы.</t>
  </si>
  <si>
    <t>22.11.Акт 2614  3 подвал.Засор канализации. Прочищено тросом из колодца № 2 до выгребной ямы (посторонние предметы)</t>
  </si>
  <si>
    <t>23.11.Акт 2617 (17-40)ю. С потолка капает вода. Сработал воздухоотводчик, произошла утечка воды через воздухоотводчик</t>
  </si>
  <si>
    <t>28.11. Акт 2692 кв.21. Перекрыть стояк с холодной водой</t>
  </si>
  <si>
    <t>02.12.Акт 2738. Закрытие слуховых окон на чердаке. Окна закрыты.</t>
  </si>
  <si>
    <t>06.12. Акт 2789. Осмотр тепловых сетей на чердаке. Осмотр и ревизия арматуры верхней разводки теплоснабжения на чердаке - замечаний нет</t>
  </si>
  <si>
    <t>11.12. Акт 2815. Засор канализации. Пробивка тросом из колодца № 1 до ямы (посторонние предметы)</t>
  </si>
  <si>
    <t>10.12. Акт 2817. (22-00)Завоздушена система отопления. Перепущены стояки через сбросники на чердаке (11.12)</t>
  </si>
  <si>
    <t>14.12. Акт 2864 кв 5,4. Холодная батарея. Перезапуск стояка на чердаке</t>
  </si>
  <si>
    <t>25.12. Акт 2904. На улице и в подъезде нет света. Замена лампочек 5 шт</t>
  </si>
  <si>
    <t>27.12. Акт 2907 Осмотр сетей. При осмотре выявлен засор канализации. Прочистка тросом выпусков из дома в колодец № 1,№2.</t>
  </si>
  <si>
    <t>30.12. Акт 2950 Засор канализации в подвале. Прочистка "ершом" выпуска № 2 из дома до колодца. Прочистка тросом из колодца № 2 до ямы</t>
  </si>
  <si>
    <t>31.12. Акт 2959. Осмотр верхней разводки отопления на чердаке и утепление сбросников</t>
  </si>
  <si>
    <t>23.12. Акт 2966 кв.17. Засор канализации. Прочистка тросом выпуска канализации из дома до колодца</t>
  </si>
  <si>
    <t>отработано час.</t>
  </si>
  <si>
    <t>09.01. Акт 31 кв.4. Нет света на 2 этаже и на входе. Замена лампочек 3 шт</t>
  </si>
  <si>
    <t>21.01.Акт 141 кв.4. Нет света на улице. Ремонт светильника</t>
  </si>
  <si>
    <t>16.04.Акт 911 Заменить лампочки у почтовых ящиков. Замена лампочек 2 шт</t>
  </si>
  <si>
    <t>17.05.Акт 1148 кв.4. Нет света при входе в подъезд. Замена эл.лампочек 3 шт, осмотр электрощитов</t>
  </si>
  <si>
    <t>23.05.Акт 1199 кв.4. Нет света перед входом. Осмотрел, светильник исправен, замена лампочек 2 шт</t>
  </si>
  <si>
    <t>30.05.Акт 1253 кв.3. Запах проводки в подъезде от входящего вдом кабеля. Осмотрено, требуется замена кабеля</t>
  </si>
  <si>
    <t>06.06.Акт 1296 кв.1. Забита канализация. Осмотрено, необходимо откачать емкость выгребную</t>
  </si>
  <si>
    <t>Денисов, Стрежеус, Кривенчук</t>
  </si>
  <si>
    <t>07.06.Акт 1296 кв.1. Забита канализация, Прочищено</t>
  </si>
  <si>
    <t>Ерюков, стрежеус</t>
  </si>
  <si>
    <t>13.06.Акт 1332 кв.1. Забита канализация общедомовая. Пробивка тросом из емкости до дома 20м</t>
  </si>
  <si>
    <t>Конюшенко, Денисов, Музыченко, Крупич</t>
  </si>
  <si>
    <t>28.06.Акт 1417 кв.2. Засор канализации, пробить из квартиры до бочки. Устранено, прочищено до колодца</t>
  </si>
  <si>
    <t>Ерлин Конюшенко</t>
  </si>
  <si>
    <t>30.06.Акт 1428 кв.1. Стоит вода в ванной. Прочищено тросом до колодца</t>
  </si>
  <si>
    <t>07.07..Акт 1471 кв.1. Засор канализации. Пробивка тросом выпуска из дома до выгребной ямы</t>
  </si>
  <si>
    <t>08.07.Акт 1481 кв.4. Нет света в подъезде. Замена 3 лампочек</t>
  </si>
  <si>
    <t>22.07.Акт 1549 кв.4. Нет света на улице. Замена лампы в уичном свктильнике</t>
  </si>
  <si>
    <t>23.09.Акт 1962 кв.4.Нет света  в подъезде. Замена лампочек 2 шт</t>
  </si>
  <si>
    <t>01.11.Акт 2314. Нет света на 12 этаже. Замена  лампочки</t>
  </si>
  <si>
    <t>28.11. Акт 2688 нет света на 2 этаже. Замена лампочки</t>
  </si>
  <si>
    <t>28.11. Акт 2691 кв1. Засор канализации. Пробивка тросом из колодца до дома</t>
  </si>
  <si>
    <t>Ерлин, Морозов, Музыченко</t>
  </si>
  <si>
    <t>29.11. Акт 2703 кв 1,2. Засор канализации в подвале. Пробивка тросом системы канализации из ямы и с чердака</t>
  </si>
  <si>
    <t>Конюшекнко, Морозов, Музыченко</t>
  </si>
  <si>
    <t>03.12. Акт 2742. Плановые: остекление наружной рамы окна в подъезде поликарбонатом</t>
  </si>
  <si>
    <t>10.12. Акт 2801 . Заменить кабель в подъезде. Заменен кабельный ввод 16п.м.</t>
  </si>
  <si>
    <t>27.12. Акт 2939 кв.1. Перед подъездом и в подъезде не горят лампочки. Замена лампочек 3 шт</t>
  </si>
  <si>
    <t>17.01.Акт 122 кв.21. Поставит кран. Установлен смесительна раковину на кухне.</t>
  </si>
  <si>
    <t>20.01.Акт 134 кв.18. Течь канализации в подвале. Прочищено тросом из подвала до колодца</t>
  </si>
  <si>
    <t>28.01. Акт 151 кв.7. Посмотреть эл.щиток, выбивает автомат. Замена эл.вставок ПН2 63А 4 шт</t>
  </si>
  <si>
    <t>24.01.Акт 162 кв 4,6. Течь воды с крыши в подъезде по стене. Осмотрено, течь с крыши по стене.</t>
  </si>
  <si>
    <t>28.01.Акт 193 кв.23. Поменять кран в подвале на стояке для перекрытия воды. Замена кранов на центральном стояке 2шт</t>
  </si>
  <si>
    <t xml:space="preserve">31.01.Акт 236. Заварить перила (последний подъезд) качаются на всех этажах. Заварено </t>
  </si>
  <si>
    <t>12.02.Акт 312 кв.22. В квартире искрит проводка. Осмотрено, самовольное подключение провода в распредкоробке  "слабый контакт" отключение эл.провода, изоляция контактов</t>
  </si>
  <si>
    <t>25.02. Акт 422 кв.12. Нет света в подъезде на 2,3 этажах. Замена лампочек 2 шт</t>
  </si>
  <si>
    <t>26.02.Акт 429 кв.22.ю. Нет воды в доме. Осмотрено, окрыт "летник" и бежит вода в подвал. Закрыли.</t>
  </si>
  <si>
    <t xml:space="preserve">27.02.Акт 452 кв.12. Нет света на 3 этаже. Замена лампочки </t>
  </si>
  <si>
    <t>04.03.Акт 507 кв.3. Течет с крыши вода. Произведен осмотр кровли, 5.03. сброшены шапки снега. Мягкая кровля 1 подъезда требует  ремонта со стороны подъездов</t>
  </si>
  <si>
    <t>25.02..Акт 423 кв.12. Убрать снег с крыши и козырьков. Осмотрено</t>
  </si>
  <si>
    <t>04.03.Акт 511 . С козырьков снег убран</t>
  </si>
  <si>
    <t>05.03.Акт 519 кв.3. Убрать снег с крыши. С мягкой кровли снег не убирается, сброшены шапки со стороны подъезда.</t>
  </si>
  <si>
    <t>09.03.Акт 552 кв 22,24. Нет света в квартире. Замена вставки в подъезде</t>
  </si>
  <si>
    <t>13.03.Акт 600. Нет света в подъезде. Замена лампочек 8 шт</t>
  </si>
  <si>
    <t>21.03.Акт 686 кв.23. Течь трубы отопления в подвале. Произведена установка крана в подвале.</t>
  </si>
  <si>
    <t>04.04.Акт 810 . Нет света 1 подъезд. Замена лампочек 3 шт.</t>
  </si>
  <si>
    <t>11.04.Акт 871 . Нет света в подъезде. Замена лампочек 3 шт</t>
  </si>
  <si>
    <t>25.06.Акт 1396 кв.23. Плохой напор воды. Устранили сами жильцы</t>
  </si>
  <si>
    <t>28.06.Акт 1416 кв.20. С потолка в кухне течет вода. Осмотрено в кв.22. протечки не обнаружено</t>
  </si>
  <si>
    <t>17.07.Акт 1526 кв.10. Нет света во 2 подъезде. Замена лампочек 2 шт</t>
  </si>
  <si>
    <t>25.07.Акт 1592. кв 23. Забетонировать на бетонной плите крыши. Составлен акт обследования, работы по кап ремонту выполняются по решению и за счет собственников</t>
  </si>
  <si>
    <t>21.08. Акт 1697. нет света  в подъездах. Замена лампочек 10 шт, выключатель 1 шт, автомат 25А - 5 шт, Установка проушин под замки 7 шт.</t>
  </si>
  <si>
    <t>26.08. Акт 1724 кв 7,8.  Плавяься провода у автоматов. Осмотрено, перегрузка стоячных кабелей. Установка СЖИМ 2 шт</t>
  </si>
  <si>
    <t>26.08.Акт 1726  (22-40) кв 22 и 24. Нет света  в кв 22,24. Замена вставок в щитовой  ПН-60 6 шт</t>
  </si>
  <si>
    <t>18.09.Акт 1914 кв.7. Подтекает полотенцесушитель. Осмотрено, при заполнении системы теплоснабжения водой, происходит  "потение" труб</t>
  </si>
  <si>
    <t>23.09.Акт 1964 кв.12.  Нет света  во 2 подъезде. Замена лампочек 6 шт</t>
  </si>
  <si>
    <t>01.10.Акт 2047 . Произведена установка пружин на 2, 4 подъезд, выполнен ремонт подвальных окон</t>
  </si>
  <si>
    <t>03.10. Акт 2072. Подгонка дверей, установка пружин на двери. Подгонка двеных плотен, установка пружин на 1,3 подъезды.</t>
  </si>
  <si>
    <t>30.10.Акт 2302. Во 2 подъезде на площадке нет света. Замена патрона, замена лампочки</t>
  </si>
  <si>
    <t>01.11. Акт 2312. В 3 подъезде нет света. Замена лампочки 1 шт</t>
  </si>
  <si>
    <t>01.11. Акт 2315. Планоые работы по закрытию подвальных окон.</t>
  </si>
  <si>
    <t>05.11. Акт 2325 кв.23. Засор унитаза в квартире. Прочищен унитаз, с разборкой квартирной сети канализации</t>
  </si>
  <si>
    <t>25.11. Акт 2568. Осмотр канализации. Осмотрено, стоят колодцы около дома 11а, направлены телефонограммы ООО МХ "Теплосервис2</t>
  </si>
  <si>
    <t>03.12.Акт 2753 кв.12. Замена лампочек 3шт</t>
  </si>
  <si>
    <t>30.12. Акт 2945.Замена лампочек. Ремонт патрона, замена лампочек 8 шт</t>
  </si>
  <si>
    <t>27.12.  Акт 2953 кв.14. Утеплить входную дверь. Устранено, ремонт входной двери</t>
  </si>
  <si>
    <t xml:space="preserve"> по улице  Вокзальная   за  2013 год</t>
  </si>
  <si>
    <t>12.04.Закрыть дверь в подвал. Осмотрено, двери закрыта на навесные замки</t>
  </si>
  <si>
    <t>29.04.Заявка 1028 кв.11. Нет света 1 этаж, 2 подъезд. Замена лампочек 5шт</t>
  </si>
  <si>
    <t>25.04.Акт 1071. Установка отопительных приборов в подъезде. После остановки отопления будут проведены работы по установке отопительных приборов</t>
  </si>
  <si>
    <t>12.05.Акт 1120. кв.1. Нет света в квартире, устранено</t>
  </si>
  <si>
    <t>19.06.Акт 1370 кв.1. Нет холодной воды по стояку. Устранено, стояк заменен</t>
  </si>
  <si>
    <t>31.07.Заявка 1599 кв.17. Заменить пакетный выключатель. Установка автомата ВА 47-29.2.40А - 2шт, кабель АВВГ 3х6 4м , автомат 32А-1шт</t>
  </si>
  <si>
    <t>22.09.Акт 1038 кв.17. Хлещит вода из системы отопления в подвал. Установлен хомут, произведена откачка воды из подвала</t>
  </si>
  <si>
    <t>09.09.Акт 1851 . Восстановление системы отопления в подъездах. Установка отопительных приборов во 2 подъезде, восстановление стояков отопления 1,2,3 подъезды</t>
  </si>
  <si>
    <t>13.08.Заявка 1687 кв.7. Течь с потолка на кухне и в подъезде. Осмотрено, пять листов шифера лопнули. Пропенили местами шифер, подложили на обрешетку 4 листа оцинковки 2,5*1,25, работы выполнены 14.08.</t>
  </si>
  <si>
    <t>12.09.Акт 1892. Ремонт стропил. Произведено укрепление двух стропил и установка подкосов</t>
  </si>
  <si>
    <t>19.09.Акт 1922 кв.12. В подвале в кладовке течет труба. Подтянут хомут на водопроводе во 2 подвале.</t>
  </si>
  <si>
    <t>22.09.Акт 1958 кв.17. Не горит свет на улице. Замена лампочек 5шт</t>
  </si>
  <si>
    <t>25.09. Акт 1976. Замена шифера, побелка стены под карнизом. Уложено шесть листов шифера на кровлю, побелено под карнизом. Промазано жидким битумом примыкания вытяжной трубы с кровлей. Работа автовышки 3 ч</t>
  </si>
  <si>
    <t>27.09.Акт 2020 кв 2,5,8. Стояк отопления холодный. Перепущено</t>
  </si>
  <si>
    <t>29.09.Акт 2027 кв.22. Течь горячей воды в подвале. Обследовано: капельная течь из под хомута и из под стояка - необходимо проведение сварочных работ</t>
  </si>
  <si>
    <t>01.10.Акт 2049. Ремонт тамбурных дверей 1,3 подъезды. Произведена установка пружин и ремонт дверей</t>
  </si>
  <si>
    <t>03.10.Акт 2073 3 подъезд. Замена отопительных приборов в 1,2 подъездах, ремонт отопительных приборов в 3 подъезде. Замена труб частично, установка сборок и кранов на стояки. Запуск стояков в работу</t>
  </si>
  <si>
    <t>03.10.Акт 2077 кв.24. Течь воды с крыши в зале. Течь трубы  верхней разводки на чердаке, сварочные работы, верхняя разводка отопления</t>
  </si>
  <si>
    <t>04.10.Акт 2086, 2087 кв.21,18. Холодные батареи на кухне и в комнате. Стояки отопления перепущены, отопительные приборы прогрелись</t>
  </si>
  <si>
    <t>06.10.Акт 2106 кв.18. Холодные батареи во всех комнатах. Перепущен воздух мо всех стояков на чердаке</t>
  </si>
  <si>
    <t>07.10.Акт 2126 кв.2. Нет тепла в спальне, кухне. Перепущены  стояки, слита вода со сбросников</t>
  </si>
  <si>
    <t>08.10.Акт 2135 кв 13.,15,11. Холодная спальня. Перепущены стояки на чердаке - завоздушены.</t>
  </si>
  <si>
    <t>09.10.Акт 2137 кв.23. В подъезде нет электроэнергии. Замена лампочек 2 шт</t>
  </si>
  <si>
    <t>16.10.Акт 2199 Оштукатуривание стен цементным раствором</t>
  </si>
  <si>
    <t>13.11. Акт 2523 кв.23. В подвале хлещит вода. Обследовано "стоит" центральная канализация в зоне ответственности ООО МХ "Теплосервис", сообщено телефонограммой для принятия мер</t>
  </si>
  <si>
    <t>16.11. Акт 2571 кв.23. Течь канализации в подвале. Обследовано: канализация работает нормально, обнаружена течь с водопровода д 40мм- необходим ремонт</t>
  </si>
  <si>
    <t>02.12. Акт 2726. Закрытие слуховых окон на чердаке.</t>
  </si>
  <si>
    <t>06.12.Акт 2787 Плановый осмотр и ревизия арматуры верхней разводки на чердаке - замечаний нет</t>
  </si>
  <si>
    <t>30.12. Акт 2946. Замена лампочек 3 шт</t>
  </si>
  <si>
    <t>31.12.Акт 2961 Плановый осмотр верхней разводки отопления на чердаке и утепление сбросников</t>
  </si>
  <si>
    <t>30.01.Акт 221 "а". Очистка кровли от снега. Работа автовышки 2 часа</t>
  </si>
  <si>
    <t>15.02.Акт з42 кв12. Не горят лампочки в коридоре. Осмотрено, выбило автомат в щитовой. Включение автомата, замена лампочек 1шт</t>
  </si>
  <si>
    <t>11.03.Акт 576 кв.2. Холодные батареи на кухне и в зале. Выполнено, перепущен весь дом.</t>
  </si>
  <si>
    <t>15.03.Очистка крыши от снега</t>
  </si>
  <si>
    <t>Денисов, Крупич, сауков</t>
  </si>
  <si>
    <t>21.03.Акт 689 кв.2. Холодные батареи. Перепущено</t>
  </si>
  <si>
    <t>26.03.Акт 713. 3 чердачных окна без дверей, сорваны двери с петель. Окна закрыты</t>
  </si>
  <si>
    <t>08.04.Акт 840 кв.11. Бежит с потолка. Осмотрено, на чердаке лежит снег, почистили.</t>
  </si>
  <si>
    <t>Музыченко, ерлин, Конюшенко</t>
  </si>
  <si>
    <t>22.04.Акт 968. В подъезде из батареи бежит вода. Осмотрено, не сработал перепусконй клапан, течь устранена</t>
  </si>
  <si>
    <t>Денисов, ерюков</t>
  </si>
  <si>
    <t>23.09.Акт 2003. Нет тепла во всем доме. Устранено, открыли задвижку на дом</t>
  </si>
  <si>
    <t>26.09.Акт 2016 зал, кухня, полотенцесушитель, стояки перепущены</t>
  </si>
  <si>
    <t>Матузов, морозов</t>
  </si>
  <si>
    <t>28.09.Акт 2029.кв 2,8. Батареи холодные, стояк холодный, В зале чугунная батарея состоит из 18 секций, в спальне 16 секций, нет сбросников воздуха- стояки перепущены. Рекомендовано установить краны "Маявского".</t>
  </si>
  <si>
    <t>04.10.Акт 2084, холодный полотенцесушитель. Стояки полотенцесушителя завоздушены, перепустили</t>
  </si>
  <si>
    <t>15.11.Акт 2577. В тамбуре, у крыльца на площадке нет света. Замена эл.лампочек 8 шт. В тамбуре и на лестнице 2 этажа нужна замена патронов</t>
  </si>
  <si>
    <t>26.11.Акт 2657. Сделать предупредительную надпись на стенке дома. Выполнено</t>
  </si>
  <si>
    <t>Конюшенко, Морозов</t>
  </si>
  <si>
    <t>02.12. Акт 2727. Закрытие слуховых окон на чердаке. Окна закрыты</t>
  </si>
  <si>
    <t>05.12.Акт 2769.кв.9. Нет  света, искрят автоматы. Осмотрено, замена автоматов 25А-2 шт</t>
  </si>
  <si>
    <t>13.12.Акт 2880 кв.6. Нет света в ванной, в коридоре. Осмотрено, выбило автомат</t>
  </si>
  <si>
    <t>30.12. Акт 2947. Замена лампочек 10 шт</t>
  </si>
  <si>
    <t>28.03.Акт 733. 1 подъезд нет света. Замена лампочек 6 шт</t>
  </si>
  <si>
    <t>28.03.Акт 737 кв.18. В стояке (отвод) сгнила труба бежит вода. Нарезали резьбу, поставили кран, запустили воду.</t>
  </si>
  <si>
    <t>19.04.Акт 945 кв.2. В  подъезде не горит свет. Замена эл.лампочек 5 шт 24.04.</t>
  </si>
  <si>
    <t>24.04.Акт 982 кв.2. Посмотреть проводку. Нет дома 9-26</t>
  </si>
  <si>
    <t>15.05.Акт 1145 кв.4. Забита канализация от дома до колодца. Трасса полная все колодцы стоят . Телефонограмма Теплосервису</t>
  </si>
  <si>
    <t>Стрижеус, Конюшенко, Ерюков</t>
  </si>
  <si>
    <t>16.05.Акт 1146 кв.4. Засор канализации. Прочистили из дома до колодца и дальше</t>
  </si>
  <si>
    <t>Стрижеус, Конюшенко, Денисов, Музыченко</t>
  </si>
  <si>
    <t>03.06.Акт 1262 кв.1. Протекает канализационный стояк. Осмотрено, течи не обнаружено</t>
  </si>
  <si>
    <t>Конюшенко, Музыченко, Стрижеус</t>
  </si>
  <si>
    <t>06.06.Акт 1285 кв.16,20 Осмотреть  канализационные стояки. Осмотрено: канализационный стояк исправен</t>
  </si>
  <si>
    <t>Конюшенко, Кривенчук</t>
  </si>
  <si>
    <t>06.06. Акт 1289 кв.1. В туалете вода заливает из трубы. Осмотрено, негерметичное соединение унитаза с тройником. Поставили унитаз, прочистили канализацию, течь была из-за засора общедомовой сети канализации.</t>
  </si>
  <si>
    <t>Конюшенко, Музыченко, Денисов, Стрижеус</t>
  </si>
  <si>
    <t>10.06.Акт 1314 кв.18 В щитовой сгорел пакетник. Подключение нулевого провода на щит</t>
  </si>
  <si>
    <t>17.06.Акт 1356 кв.4. Засор канализации. Устранено, прочищено от колодца до дома.</t>
  </si>
  <si>
    <t xml:space="preserve">Музыченко, Музыченко, Конюшенко, </t>
  </si>
  <si>
    <t>20.06.Акт 1374 кв.4. Забита канализация. Прочищено</t>
  </si>
  <si>
    <t>Крепич, Конюшенко</t>
  </si>
  <si>
    <t>03.07. Акт 1458 кв.4. Течь канализации под пол. Устранено</t>
  </si>
  <si>
    <t>06.07.Акт 1469 кв.4. Забита канализация, устранено, прочищено тросом</t>
  </si>
  <si>
    <t>14.07.Акт 1504 кв.4. Засор канализации. Пробивка тросом внутриподвальной канаплдизации и выпуска до колодца</t>
  </si>
  <si>
    <t>15.07.Акт 1506. Нет света на 1 этаже. Замена лампочки в тамбуре</t>
  </si>
  <si>
    <t>16.07.Акт 1522 кв.4. Засор канализации. Прочистка канализации внутридомовой и выпуска в колодец</t>
  </si>
  <si>
    <t>17.07.Акт 1527 кв.4. Вода стоит в унитазе и через верх бежит. Пробивка тросом внутридомовой канализации</t>
  </si>
  <si>
    <t>18.07.Акт 1531 кв.16. Капает вода по стояку с кв.12. Обследовано, из-за неисправности унитаза в кв.16 постоянная циркуляция воды по стояку хвс - в результате чего "потная труба". С капельной течью в кв.16 кв.20. Рекомендовано: устранить течь в унитазе</t>
  </si>
  <si>
    <t>17.07.Акт 1528 кв.1. В ванной и унитазе стоит вода - булькает. Прочистка тросом внутридомовой канализации</t>
  </si>
  <si>
    <t>Крупич, матузов</t>
  </si>
  <si>
    <t>01.08.Акт 1612 кв.1. В кухне засор - не уходит вода из раковины. Пробивка тросом стояка канализации (общедомовая)</t>
  </si>
  <si>
    <t>01.08.Акт 1616 кв.2. В подъезде нет света. Замена лампочек 4 шт</t>
  </si>
  <si>
    <t xml:space="preserve">09.08.Акт 1668 Плановый ТО щитов. Замена автоматов  63А- 2 и 32-1 , кабель АВВГ 3х6 2 м. Установка СЖИМ 3 шт, Сиз2 - 50 шт, лампочка 4 шт, </t>
  </si>
  <si>
    <t>13.08.Акт 1686 кв.11. Течь потолка в зале. Обследовано, подлодка рубероида уложена без должного нахлеста, в результате из-за трещин шифера происходит затекание.</t>
  </si>
  <si>
    <t>26.08.Акт 1717. Нет света. Замена лампочек 1 шт</t>
  </si>
  <si>
    <t>28.08.Акт 1734 кв.4. Засор канализации. Осмотрено. В стояке канализации посторонние предметы, для извлечения необходимо разобрать ограждение стояка канализации</t>
  </si>
  <si>
    <t>01.09.Акт 1757 кв.1. Засор канализации. Ложный вызов</t>
  </si>
  <si>
    <t>02.09.Акт 1767. Нет света в подъезде. Замена лампочек 3 шт</t>
  </si>
  <si>
    <t>18.09.Акт 1903 кв.3. Отвалилась труба холодной воды на кухне. Установлена заглушка д15</t>
  </si>
  <si>
    <t>24.09. Закрыта задвижка сети отопления. Устранено</t>
  </si>
  <si>
    <t>30.09.Акт 2042 кв.11. Бежит с потолка. Обследовано, необходимо заменить 10 листов шифера</t>
  </si>
  <si>
    <t>03.10.Акт 2074. Плановые установка пружин, подгонка дверей в подъездах</t>
  </si>
  <si>
    <t>04.10.Акт 2109 кв11. Плохой напор воды в квартире. 10-00 - нет дома</t>
  </si>
  <si>
    <t>15.10.Акт 2191 1 подъезд. Замена водопровода. Проведена замена сетей хвс на площадке и стояки в кв.10,11,15 8м д25</t>
  </si>
  <si>
    <t>15.10.Акт 2196 кв. 2-3. Нет воды в квартире. Водоснабжение в квартире восстановлено путем замены стояков и прочистки металлопластика 16.10.</t>
  </si>
  <si>
    <t>01.11.Акт 2313 1 подъезд нет света. Замена лампочек 1 шт</t>
  </si>
  <si>
    <t>02.12. Акт 2725. Плановые закрыть слуховое окно на чердаке.</t>
  </si>
  <si>
    <t>30.12. Акт 2948.Замена лампочек 5 шт</t>
  </si>
  <si>
    <t>16.01.Акт 111 кв.3. 1 подъезд нет всета. Замена лампочек 3 шт</t>
  </si>
  <si>
    <t xml:space="preserve">12.02.Акт 300 сбросить снег с крыши, 309 , кв.5. Во дворе много снега, очистить двор. Произведена очистка крыши от снега  Акт 516 от 05.03. </t>
  </si>
  <si>
    <t>11.03.Акт 578 кв.5. Холодные трубы в зале. Осмотрено, стояк прогрелся сам, после запуска котельной</t>
  </si>
  <si>
    <t>14.03. Планоый осмотр подвала. Осмотрено, протеканий в подвале нет</t>
  </si>
  <si>
    <t>21.03.Акт 676 1 подъезд. Нет света в подъезде, замена лампочек 1 шт</t>
  </si>
  <si>
    <t>11.03.Акт 583 кв.5. Холодно в квартире, перепуск стояка</t>
  </si>
  <si>
    <t>09.04.Акт 850. В подвале течь воды. Осмотрено Прогнила труба проходящей системы отопления (зона ответственности ООО МХ "Теплосервис"</t>
  </si>
  <si>
    <t>07.05.Акт 1074. Осмотр подвала. Осмотр, закрыли вентиль на сети отопления (была течь воды в подвал)</t>
  </si>
  <si>
    <t>09.05. Акт 1105 Нет в доме воды. Осмотрено на трассе обнаружен порыв трубы водоснабжения</t>
  </si>
  <si>
    <t>12.05.Акт 1121 кв.11. Течь трубы отопления в подвале. Перекыли отопление, авария Теплосервиса</t>
  </si>
  <si>
    <t>17.05.Акт 1149 кв.3. 1 подъезд нет света. Замена лампочек 2 шт</t>
  </si>
  <si>
    <t>13.06.Акт 1339 кв.8 Течь холодной воды в туалете. Осмотрено, нужна замена кранов на стояке, воду перекрыли, установили краны</t>
  </si>
  <si>
    <t>15.06.Акт 1347. Нет воды холодной. Аварийное отключение, ведет работы Аква-Терминал</t>
  </si>
  <si>
    <t>21.07.Акт 1548 кв.3. Нет света в подъезде и на улице. Произведена замена лампы на 2 этаже, ламп ДРЛ - у нас нет</t>
  </si>
  <si>
    <t>23.07.Акт 1557 кв.9. Засор раковины на кухне. Прочистка тросом кухонного стояка канализации</t>
  </si>
  <si>
    <t>31.07.Акт 1600 кв.10. Замена автомата 40А 1шт</t>
  </si>
  <si>
    <t>05.07.Акт 1464 кв.10. плавится провод к основному рубильнику. Осмотрено необходимо заменить пакетный выключатель</t>
  </si>
  <si>
    <t>01.08.Акт 1619 кв.10 В подвал бежит вода с наружной стороны дома. Обследовано, обнаружена течь в подвал дома на теплотрассе. Дана телефонограмма ООО МХ "Теплосервис"</t>
  </si>
  <si>
    <t>06.08.Акт 1674 кв.12. В подвале поменять участок трубы отопления. Замена лежаков теплосети 3 м, переврезка стояков 2 шт д20</t>
  </si>
  <si>
    <t xml:space="preserve">27.08.Акт 1731. Ревизия щитов. Протяжка контактов, замена автоматов 25А - 5 шт, 40А - 2шт, патрон подвесной  1 шт, </t>
  </si>
  <si>
    <t>29.08.Акт 1754 кв.4. Нет электроэнергии в квартире. Замена пакетного выключателя автомат 40А - 1шт.</t>
  </si>
  <si>
    <t>31.08.Акт 1769 кв.4. На эл.плите нет электроэнергии. Замена автоматов 25А- 2 шт</t>
  </si>
  <si>
    <t>02.12. Акт 2723. Плановые: закрыть слуховые окна на чердаке, окна на чердаке закрыты</t>
  </si>
  <si>
    <t>27.02.Заявка 442 кв.15. Установка в/счетчика 11.03.</t>
  </si>
  <si>
    <t>02.03.Акт 488 кв.6. Нет воды в доме. Прочищен водопровод</t>
  </si>
  <si>
    <t>07.03. Акт 542 кв.6. Нет воды. Осмотрено требуется замена труб системы водоснабжения.</t>
  </si>
  <si>
    <t>13.03.Акт 601. Очистка кровли от снена. Произведена очистка крыши от снега в течение 3 дней по 8 часов</t>
  </si>
  <si>
    <t>21.03.Акт 678 кв 3,2,6. Замена сети хвс. Стояк заменен разводка подключена. Стояк замене, разводка подключена</t>
  </si>
  <si>
    <t>18.05.Акт 1158 кв.3. Из сливного бачка течет вода в унитаз. Осмотрено, необходимо заменить арматуру в сливном бачке.</t>
  </si>
  <si>
    <t>11.06.Акт 1323 кв.7. Заменить трубу отопления в квартире. Обследовано, работы будут выполнены после выхода газоэлектросварщика</t>
  </si>
  <si>
    <t>10.06.Акт 1327. Плановые работы демонтаж вент.шахты, работа автовышки 8 часов</t>
  </si>
  <si>
    <t>14.06.Акт 1343 кв.5. Засор канализации в туалете. Устранено, пробит центральный стояк с крыши</t>
  </si>
  <si>
    <t>29.06.Акт 1444 кв.3. Убрать кирпичи от подъезда. Крупный кирпич вывезен, мелочь уложен в канаву на дороге</t>
  </si>
  <si>
    <t>15.07.Акт 1513. Нет воды во всем доме. Обследовано техподполье, тепловая камера - открыты краны, вода пошла</t>
  </si>
  <si>
    <t>31.07.Акт 1607 кв.15 Плохой напор воды. Обследовано: выявлено ряд причин плохого напора в зоне отвтественности ООО Аква-терминал, направлено письмо о принятии мер.</t>
  </si>
  <si>
    <t>06.08.Акт 1644 кв.5. Бежит вода с батареи. Осмотрено, течь батареи, лопнул кран, кран заменит</t>
  </si>
  <si>
    <t>10.08.Акт 1662 кв.3. В коридоре квартиры из трубы течет канализационная вода. Прочищено тросом из колодца до квартиры.</t>
  </si>
  <si>
    <t>01.09.Акт 1760 кв.4. Течь воды под раковиной на кухне. Перекрыта вода в доме, демонтирован кран в раковине. Необходимо произвести слесарные работы.</t>
  </si>
  <si>
    <t>01.09. Акт 1762 кв.4. Нет воды в квартире. Ремонт стояка хвс с нарезанием резьбы и установкой сбросника, крана</t>
  </si>
  <si>
    <t>29.08.Акт 1775 кв.12. Перегорели лампочки. Замена ламп 1 шт</t>
  </si>
  <si>
    <t>21.09. Акт 1937 кв.1. Нет электричества в квартире. Устранено 21.09.</t>
  </si>
  <si>
    <t>05.10.Акт 2124 кв.12. Плохой напор воды в квартирах. Обследовано, необходима замена стояков хвс в кв.2 и 11</t>
  </si>
  <si>
    <t>14.08.Акт 2155 кв.5. Протекает крыша в спальне. 20.08. нет выхода на чердак.(нет лестницы). 10.10.Устранено, дождь захлестывал через открытое слуховое окно</t>
  </si>
  <si>
    <t>21.10.Акт 2252 кв.10. Сгнила труба хвс в квартиру и в квартире. Восстановлено водоснабжение в 8-ми квартирах, замена 15 м лежаков и стояков хвс, заведено в кв. 10.11.14.15. Установлен кран д 25 на лежак - 23.10.</t>
  </si>
  <si>
    <t>18.11.Акт 2578 кв.12. Нет света на крыльце и на площадке. Замена лампочек 2 шт</t>
  </si>
  <si>
    <t>26.11.Акт 2656. Выполнили предупредительную надпись на стене.</t>
  </si>
  <si>
    <t>02.12. Акт 2724. Плановые: закрыты окна на чердаке.</t>
  </si>
  <si>
    <t>30.12. Акт 2929. Замена лампочек 4 шт</t>
  </si>
  <si>
    <t>23.12. Акт 2959 кв.2. Засор канализации в туалете. Обследовано, подтекание в кв.№2 в соединении гофра-унитазх тройник</t>
  </si>
  <si>
    <t xml:space="preserve">Отчет ООО " МУК" по управлению и текущему содержанию МКД по адресу р.п.Мошково,  ул.Кирова 19а за  2013 год </t>
  </si>
  <si>
    <t>Доходов по управлению и текущему содержанию жилого дома № 19а по ул.Кирова за  2013</t>
  </si>
  <si>
    <t>Дефицит   денежных средств по жилому дому</t>
  </si>
  <si>
    <t xml:space="preserve">Доходов по управлению и текущему содержанию жилого дома </t>
  </si>
  <si>
    <t xml:space="preserve">Отчет ООО " МУК" по управлению и текущему содержанию МКД по адресу р.п.Мошково,  ул.Гагарина 5а за  2013 год </t>
  </si>
  <si>
    <t xml:space="preserve">Отчет ООО " МУК" по управлению и текущему содержанию МКД по адресу р.п.Мошково, ул.Гагарина  2а за  2013 </t>
  </si>
  <si>
    <t>Начислено платежей за текущее содержание период  за 2013 год</t>
  </si>
  <si>
    <t>Начислено за э/э ОДН</t>
  </si>
  <si>
    <t xml:space="preserve">Отчет ООО " МУК" по управлению и текущему содержанию МКД по адресу р.п.Мошково,  ул.Гагарина 1 за  2013 год </t>
  </si>
  <si>
    <t xml:space="preserve">Отчет ООО " МУК" по управлению и текущему содержанию МКД по адресу р.п.Мошково,   ул.Вокзальная 17а  за  2013 год </t>
  </si>
  <si>
    <t>соцнайм</t>
  </si>
  <si>
    <t>Начислено за  тсж</t>
  </si>
  <si>
    <t>Начислено  э/э ОДН</t>
  </si>
  <si>
    <t>Экономия по текущему обслуживанию на 01.01.2013 года</t>
  </si>
  <si>
    <t>Экономия    денежных средств по жилому дому на 01.01.2014г</t>
  </si>
  <si>
    <t xml:space="preserve"> по улице Кирова за  2013 года</t>
  </si>
  <si>
    <t xml:space="preserve">Отчет ООО " МУК" по управлению и текущему содержанию МКД по адресу р.п.Мошково,   ул.Горького 3а за  2013 год </t>
  </si>
  <si>
    <t>выполненных работ по управлению и обслуживанию ООО "МУК"  жилого дома   № 28а по улице Строительной</t>
  </si>
  <si>
    <t>вывоз ЖБО</t>
  </si>
  <si>
    <t>ФОТ и налоги на з/плату дворника</t>
  </si>
  <si>
    <t>Отчет ООО " МУК" по текущему содержанию мест общего пользования МКД по адресу р.п.Мошково, ул. Строительная 28а за  2013год</t>
  </si>
  <si>
    <t>Экономия  за текущее обслуживание на 01.01.2013 года</t>
  </si>
  <si>
    <t xml:space="preserve">Отчет ООО " МУК" по управлению и текущему содержанию МКД по адресу р.п.Мошково,  ул.Горького 4А за  2013 год </t>
  </si>
  <si>
    <t xml:space="preserve">выполненных работ по управлению и обслуживанию ООО "МУК"     </t>
  </si>
  <si>
    <t>жилого дома  № 4а по улице М.Горького за 2013 год</t>
  </si>
  <si>
    <t xml:space="preserve">Экономия   денежных средств по жилому дому </t>
  </si>
  <si>
    <t xml:space="preserve">выполненных работ по управлению и обслуживанию ООО "МУК"  </t>
  </si>
  <si>
    <t xml:space="preserve"> жилого дома   № 1 по улице  Гагарина   за 2013 год</t>
  </si>
  <si>
    <t xml:space="preserve">погрузчик </t>
  </si>
  <si>
    <t xml:space="preserve">Экономия    денежных средств по жилому дому </t>
  </si>
  <si>
    <t xml:space="preserve">Отчет ООО " МУК" по управлению и текущему содержанию МКД по адресу р.п.Мошково, ул.Гагарина 2а за  2013 год </t>
  </si>
  <si>
    <t>Экономия   денежных средств по жилому дому</t>
  </si>
  <si>
    <t xml:space="preserve"> жилого дома   № 5 по улице  Гагарина   за 2013 год</t>
  </si>
  <si>
    <t xml:space="preserve"> жилого дома   № 17а по улице  Вокзальная  за  2013 года</t>
  </si>
  <si>
    <t>Оплата за соцнайм</t>
  </si>
  <si>
    <t>Отчет ООО " МУК" по управлению и текущему содержанию МКД по адресу р.п.Мошково, ул.Вокзальная 11а за  2013 год</t>
  </si>
  <si>
    <t xml:space="preserve">Доходов по управлению и текущему содержанию жилого дома  </t>
  </si>
  <si>
    <t xml:space="preserve">Затраты по управлению и текущему содержанию </t>
  </si>
  <si>
    <t>Задолженность населения  на 01.01.2014г</t>
  </si>
  <si>
    <t>Экономия  денежных средств  на 01.01.2014г.</t>
  </si>
  <si>
    <t>автовышка  3 часа</t>
  </si>
  <si>
    <t>жилого дома   № 9а  по ул.Вокзальная за 2013 год</t>
  </si>
  <si>
    <t xml:space="preserve">Отчет ООО " МУК" по управлению и текущему содержанию МКД по адресу р.п.Мошково, ул.Вокзальная 9а за 2013 годгода </t>
  </si>
  <si>
    <t xml:space="preserve">Отчет ООО " МУК" по управлению и текущему содержанию МКД по адресу р.п.Мошково, ул.Лесная 2А за  2013 год </t>
  </si>
  <si>
    <t>за 2013 год</t>
  </si>
  <si>
    <t>Задолженность населения на 01.01.2014</t>
  </si>
  <si>
    <t>Собрано средств за 2013 год</t>
  </si>
  <si>
    <t>Дефицит денежных средств на 01.01.2013 г</t>
  </si>
  <si>
    <t>Затраты по управлению и текущемц содержанию за 2013 год</t>
  </si>
  <si>
    <t xml:space="preserve">Отчет ООО " МУК" по управлению и текущему содержанию МКД по адресу р.п.Мошково, ул.Лесная 3А за  2013 год </t>
  </si>
  <si>
    <t>Начислено платежей за электроэнергию МОП и соцнайм</t>
  </si>
  <si>
    <t>оплачено за э/ ОДН и соцнайм</t>
  </si>
  <si>
    <t>Доходов по управлению и текущему содержанию жилого дома за 2013 год</t>
  </si>
  <si>
    <t>Дефицит денежных средств по жилому дому</t>
  </si>
  <si>
    <t>Затраты по управлению и текущему содержаниюза 2013 год</t>
  </si>
  <si>
    <t>Начислено платежей за текущее содержание за 2013 год</t>
  </si>
  <si>
    <t>Начислено платежей за электроэнергию ОДН и соцнайм</t>
  </si>
  <si>
    <t>задолженность населения  на 01.01.2014 г</t>
  </si>
  <si>
    <t xml:space="preserve">Собрано денежных средств </t>
  </si>
  <si>
    <t>Оплата за электроэнергию ОДН и соцнайм</t>
  </si>
  <si>
    <t>накладные</t>
  </si>
  <si>
    <t>Дефицит денежных средств по жилому дому на 01.01.2014г</t>
  </si>
  <si>
    <t xml:space="preserve"> по улице Лесная за 2013 год</t>
  </si>
  <si>
    <t xml:space="preserve">Отчет ООО " МУК" по управлению и текущему содержанию МКД по адресу р.п.Мошково, ул.Пионерская 24а за  2013 год </t>
  </si>
  <si>
    <t xml:space="preserve"> жилого дома   № 24а по улице Пионерская    за 2013 год</t>
  </si>
  <si>
    <t>Дефицит денежных средств по жилому дому на 01.01.13г.</t>
  </si>
  <si>
    <t>уборка от снега придомовой территоррии трактором</t>
  </si>
  <si>
    <t>начислено за установку приборов учета</t>
  </si>
  <si>
    <t>оплата за установку ОПУ</t>
  </si>
  <si>
    <t xml:space="preserve">Отчет ООО " МУК" по управлению и текущему содержанию МКД по адресу р.п.Мошково, ул.Пионерская 20 за  2013 год </t>
  </si>
  <si>
    <t xml:space="preserve"> жилого дома   № 20 по улице Пионерская  за 2013 год</t>
  </si>
  <si>
    <t xml:space="preserve">Начислено платежей за электроэнергию ОДН </t>
  </si>
  <si>
    <t>жилого дома   № 18 по улице Пионерская    за 2013 год</t>
  </si>
  <si>
    <t>Начислено платежей за электроэнергию ОДН  и соцнайм</t>
  </si>
  <si>
    <t xml:space="preserve">Отчет ООО " МУК" по управлению и текущему содержанию МКД по адресу р.п.Мошково, ул.Пионерская 18 за  2013 год </t>
  </si>
  <si>
    <t xml:space="preserve">выполненных работ по управлению и обслуживанию ООО "МУК" </t>
  </si>
  <si>
    <t xml:space="preserve"> жилого дома   № 16 по улице Пионерская   за  2013г. </t>
  </si>
  <si>
    <t xml:space="preserve">Отчет ООО " МУК" по управлению и текущему содержанию МКД по адресу р.п.Мошково, ул.Пионерская 14 за  2013 год </t>
  </si>
  <si>
    <t xml:space="preserve">Отчет ООО " МУК" по управлению и текущему содержанию МКД по адресу р.п.Мошково, ул.Пионерская 16 за  2013 год </t>
  </si>
  <si>
    <t>жилого дома   № 14  по улице Пионерская  за 2013г.</t>
  </si>
  <si>
    <t>жилого дома   № 6 по улице Пионерская    за 2013 г.</t>
  </si>
  <si>
    <t xml:space="preserve">Отчет ООО " МУК" по управлению и текущему содержанию МКД по адресу р.п.Мошково, ул.Пионерская 6 за  2013 год </t>
  </si>
  <si>
    <t xml:space="preserve">Отчет ООО " МУК" по управлению и текущему содержанию МКД по адресу р.п.Мошково, ул.Пионерская 2а  за  2013 год </t>
  </si>
  <si>
    <t>жилого дома   № 2а по улице Пионерская за 2013 год</t>
  </si>
  <si>
    <t xml:space="preserve">уборка от снега кровли с вышки </t>
  </si>
  <si>
    <t xml:space="preserve">жилого дома   № 4 по улице Пионерская   за  2013 года </t>
  </si>
  <si>
    <t>Дефицит  за текущее обслуживание на 01.01.2013 года</t>
  </si>
  <si>
    <t xml:space="preserve"> 17.01.Акт 123. Забита канализация. Устранено, прочищено</t>
  </si>
  <si>
    <t>15.03.Акт 621 кв.4. Бежит с потолка. Осмотрено съехал лист шифера, постави на место</t>
  </si>
  <si>
    <t>24.01.Заявка 165 кв.4. Убрать снег с крыши. 28.01. акт 206 проведены работы по очистке северной стороны крыши от снега</t>
  </si>
  <si>
    <t>15.03. Очистка козырька от снега</t>
  </si>
  <si>
    <t>21.06.Акт 1381 кв.4. Плохой напор воды. Осмотрено</t>
  </si>
  <si>
    <t>15.07.Акт 1508 кв 4. Течет крыша, отверстие в волне шифера, запенено 16.07.</t>
  </si>
  <si>
    <t>26.08.Акт 1715 кв.2. В подъезде перегорела лампочка. Замена лампочек 2 шт</t>
  </si>
  <si>
    <t>05.09.Акт 1832 Замена стояка хвс кв1,3,4.</t>
  </si>
  <si>
    <t>28.10.Акт 2282 кв.2. Перегорела лампочка в коридоре, замена 1 лампочки на 1 эт</t>
  </si>
  <si>
    <t>12.12.Акт 2854. нет света в подъезде, замена  1 лампочки</t>
  </si>
  <si>
    <t>21.03.Акт 674. Ремонт кровли с автовышки 3 часа</t>
  </si>
  <si>
    <t>02.09.Акт 1776 Протекает кровля. Подложен лист профнастила над дефектным листом шифера</t>
  </si>
  <si>
    <t>17.09.Акт 1897 Нет воды в доме. Водопроводные сети продуты открытым воздухом. Подача воды воостановлена, требуется замена всех домовых сетей хвс</t>
  </si>
  <si>
    <t>25.09.Акт 1975.Замена шифера Проведена замена двух листов шифера с вышки</t>
  </si>
  <si>
    <t>работа автовышки</t>
  </si>
  <si>
    <t>03.10.Акт 2079 Замена сетей хвс</t>
  </si>
  <si>
    <t>30.10.Акт 2289 изоляции теплотрассы на улице 3 п.м.</t>
  </si>
  <si>
    <t>замена сетей хвс</t>
  </si>
  <si>
    <t xml:space="preserve"> жилого дома   № 4 по улице Пионерская   за  2013 год </t>
  </si>
  <si>
    <t xml:space="preserve">Дефицит  денежных средств по жилому дому </t>
  </si>
  <si>
    <t>Площадь многоквартирного жилого дома, кв.м</t>
  </si>
  <si>
    <t>26.01.Акт 184. Много снега нависло с крыши. 30.01. сброшен снег с крыши</t>
  </si>
  <si>
    <t>31.03.Акт 765 кв.5. Нет света на этаже. Замена лампочек 3 шт</t>
  </si>
  <si>
    <t>13.05.Акт 1134 кв.3. Не работает выключатель на улице. Замена выключателя 1 шт</t>
  </si>
  <si>
    <t>29.05.Акт 1247 кв.5. Нет света на 1 этаже. Замена лампочек 3 шт</t>
  </si>
  <si>
    <t>05.08.Акт 1642 кв.5. Установить стиральную машину-автомат, установлена машина</t>
  </si>
  <si>
    <t>12.08.Акт 1667 кв.8. Течь воды с потолка в спальне. На чердаке запенили видимые места протекания</t>
  </si>
  <si>
    <t>19.08.Акт 1677 кв.5. В квартире нет света. Осмотрено, перегрузка сети, выбило автомат. Включение автомата</t>
  </si>
  <si>
    <t>30.09.Акт 2051 кв.5. Перегорела лампочка на этаже. Замена лампочек 1 шт</t>
  </si>
  <si>
    <t>27.11. кв.5. В подъезде нет света. Замена 1 лампы</t>
  </si>
  <si>
    <t>02.12. Акт 2752 кв.8. Нет света привходе в подъезд. Осмотрено, требуется замена светильника и провода</t>
  </si>
  <si>
    <t xml:space="preserve">16.12. Акт 2890 кв.8. Нет света при входе в подъезд. Установка светильника 2 шт, лампочек 4 шт, патрон настенный 2 шт, выключатель 2 шт, распредкоробка 3 шт, </t>
  </si>
  <si>
    <t xml:space="preserve">ФОТ и налоги на з/плату дворников </t>
  </si>
  <si>
    <t>09.01.Акт 36 кв.9. Нет света на 1,2 этажах и на улице. Замена лампочек 3 шт</t>
  </si>
  <si>
    <t>09.01.акт 42 кв.4. Запах канализации в квартире. Осмотрено, требуется откачать яму, откачено</t>
  </si>
  <si>
    <t>11.01.Акт 58 кв.9. Со сливного бачка непрерывно бежит вода. Устранено, произведен ремонт клапана</t>
  </si>
  <si>
    <t>26.01.Акт 179 Снего навис с крыши. 30.01.Произведена очистка кровли от снега с автовышки</t>
  </si>
  <si>
    <t>12.01.акт 68 кв 4,3. Нет света в квартирах. Осмотрено, замкнуло патрон на люстре в кв 3. Отключение люстры, включение автомата</t>
  </si>
  <si>
    <t>26.01.Акт 180 кв3,13,16,14,9 Нет света в квартире, нет фазы с высокой, вызвал РЭС</t>
  </si>
  <si>
    <t>03.02.Акт 255. Перегорели лампочки. Замена лампочек 6 шт</t>
  </si>
  <si>
    <t>12.02.Акт 313. 1и 2 подъезд пахнет канализацией. Устранено, канализациия перебрана и собрана</t>
  </si>
  <si>
    <t>19.02.Акт 372 Из канализационного люка бежит вода. Пробивка дворовой канализации асмашиной</t>
  </si>
  <si>
    <t>20.02.Акт 385 кв.5. Ремонт вентиляции. Устранено, замена клапана на трубу д50 вывод через чердак</t>
  </si>
  <si>
    <t>21.02.Акт 390 кв.5. Закрыть люк на крышу. Люк закрыт на замок</t>
  </si>
  <si>
    <t>22.02.Акт 399 Осмотр канализации. Нарушений работы канализации не обнаружено</t>
  </si>
  <si>
    <t>27.02.Акт 446 кв14,15,16, нет света в квартирах, осмотрено выбило автомат, выключили сами</t>
  </si>
  <si>
    <t>29.03.Акт 747 Осмотр чердака, кв.7. протекание вент.короба. Осмотрено, на крыше плохо прилегают листы профнастила</t>
  </si>
  <si>
    <t>06.03.Акт 527 Нет света в подъездах. Замена лампочек 4 шт</t>
  </si>
  <si>
    <t>06.03.Акт 535. Осмотр подвалов, осмотрено течей нет</t>
  </si>
  <si>
    <t>15.03.Очистка козырьков от снега</t>
  </si>
  <si>
    <t>04.04.Акт 834 Осмотр подвалов, осмотрено течи нет</t>
  </si>
  <si>
    <t>10.04.Акт 867. Почистить отмостки. Откидано</t>
  </si>
  <si>
    <t>30.04.Акт 1032 кв.16. Нет света на 1 этаже. Замена лампочек 5 шт</t>
  </si>
  <si>
    <t>04.06.Акт 2271 кв.16 Запах канализации в квартире. Устранено</t>
  </si>
  <si>
    <t>05.06.Акт 1299 Прочистка канализации, откачка воды из подвала</t>
  </si>
  <si>
    <t>07.06.Акт 1301 Засор канализации. Поставил на место, нужно заменить трубы по всей длине</t>
  </si>
  <si>
    <t>11.06.Акт 1326 кв.16 Стоит канализация в доме.Осмотрено, откачать воду из подвала</t>
  </si>
  <si>
    <t>11.06.Акт 1327 кв.10. В квартире в ванной и туалете забита канализация. Осмотрено, необходимо откачать воду из подвала</t>
  </si>
  <si>
    <t>13.06.Акт 1337 кв.10. Течь  канализации в подвале. Устранено, соединили трубу, откачали 2 машины, прочистили</t>
  </si>
  <si>
    <t>15.06.Акт 1348 Засор канализации в подвале, осмотрено засор центральной канализации</t>
  </si>
  <si>
    <t>18.06.Акт 1365 кв.10 В туалете и ванной засор канализации. Прочистили тросом, устранено вода из труб ушла</t>
  </si>
  <si>
    <t>03.06.Акт 1266 кв.16 Запах канализации, осмотрено бочку откачали</t>
  </si>
  <si>
    <t>03.06.Акт 1267 кв.4. Переключить квартиру, переключение квартиры</t>
  </si>
  <si>
    <t>26.07.Акт 1570 кв.9. Над козырьком и 1,2 подъездах нет света. Замена 5 лампочек</t>
  </si>
  <si>
    <t>04.08.Акт 1628 кв4,2. Засор канализации, пробивка тросом выпусков канализации из дома до колодца</t>
  </si>
  <si>
    <t>03.08.Акт 1623 кв.2. Засор канализации, устранено</t>
  </si>
  <si>
    <t>16.09. кв.6. Не включается электроплита. Осмотрено</t>
  </si>
  <si>
    <t>06.09.Акт 1860 кв.8. Нет света в подъезде. Замена лампочек 6 шт</t>
  </si>
  <si>
    <t>24.10.Акт 2262 кв.6. Нет света в подъездах. Замена лампочек 3 шт</t>
  </si>
  <si>
    <t>24.10.Акт 2258 кв.6 В подъезде холодная батарея. Отопление в подъезде восстановлено, батарея работает</t>
  </si>
  <si>
    <t xml:space="preserve">27.11. Акт 2684 кв.9. Откачать воду и обработать подвал. 27,28 произведена откачка воды из подвала. Утечек из инженерных сетей не обнаружено, подвал дезинфекцирован </t>
  </si>
  <si>
    <t>26.11.Акт 2658 Сделать предупредительную надпись на стене дома, выполнено</t>
  </si>
  <si>
    <t>15.11.Акт 2562 Осмотр канализации, осмотрено, замечаний нет</t>
  </si>
  <si>
    <t>03.11.Акт 2320 Осмотр подвалов и емкости, нарушений работы системы канализации не обнаружено</t>
  </si>
  <si>
    <t>20.12. Акт 2735 закрытие слуховых окон на чердаке. Окна закрыты</t>
  </si>
  <si>
    <t>04.12. Акт 2765 кв.9. Нет света в подъезде и на входе.Замена лампочек 8 шт</t>
  </si>
  <si>
    <t>6.02. Акт 271 кв.1. Появляется вода на полу в ванной. Осмотрено, течи воды на полу не обнаружено</t>
  </si>
  <si>
    <t>18.04.Акт 931а 2 подъезд. Проведены работы по замене канализации ( 14м)</t>
  </si>
  <si>
    <t>15.05.Акт 1143 кв.8. Перекрыть подачу холодной вода к 10 часам, перекрыли сами</t>
  </si>
  <si>
    <t>11.09.кв.5. Очень слабый напор воды. Обследовано не поступления воды с 1 этажа из кв.1., необходимо обследовать кв.1</t>
  </si>
  <si>
    <t>30.09. Акт 2148 кв.5. Холодные батареи в комнате. Обследовано, отопительные приборы не оборудованы краном для сброса воздуха, дом запущен</t>
  </si>
  <si>
    <t>05.10.Акт 2104 кв.4. Стоиит канализация. Пробивка тросом из дома до колодца, посторонние предметы, тряпки</t>
  </si>
  <si>
    <t>10.10.Акт 2152 кв.5. Нет света на 1 этаже. Замена эл.лампочек 6 шт во всем доме</t>
  </si>
  <si>
    <t>11.10.Акт 2169 кв.9. Течь воды в подвале. Переполнены колодцы, откачено,течь прекратилась</t>
  </si>
  <si>
    <t>27.10.Акт 2270 кв 10,9,11 Засор канализации. Устранено, прочистили тросом</t>
  </si>
  <si>
    <t>31.10.Акт 2296 кв.12. Засор канализации. Прочищено тросом из подвала до колодца, из колодца до подвала. Продезенфекцировано</t>
  </si>
  <si>
    <t>06.11. Акт 2332 кв 12,9 Засор канализации. Прочищено тросом из подвала до колодца</t>
  </si>
  <si>
    <t>08.11. Акт 2468 Осмотр систем канализации, осмотрено, замечаний нет.</t>
  </si>
  <si>
    <t>14.11. Акт 2537 кв.10. Бежит канализация в подвал. Обследовано, замечаний по работе канализации нет, течей нет</t>
  </si>
  <si>
    <t>15.11.Акт 2563 Осмотр канализации, замечаний нет</t>
  </si>
  <si>
    <t>13.11. Акт 2521 кв 12,9. Стоит канализация. Прочищено тросом из дома до колодца, посторонние предметы, тряпки</t>
  </si>
  <si>
    <t>18.11.Акт 2576. Установка вторых рам, изготовление и установка двух вторых рам на подъездные окна</t>
  </si>
  <si>
    <t>19.11.Акт 2642 кв.13. Не работает электроплита.Осмотрено, не работает переключатель</t>
  </si>
  <si>
    <t>23.11. Акт 2618 кв.4. В туалете, в ванной стоит вода. Прочищено тросом из колодца до дома, посторонние предметы ( тряпки)</t>
  </si>
  <si>
    <t>24.11.Акт 2620  кв.10.ь канализации из колодца на улице. Прочищено тросом от колодца до колодца, посторонние предметы (тряпки)</t>
  </si>
  <si>
    <t>26.11. Акт 2655 кв.14. Не поступает вода в унитаз, устранено, вода в бачок поступает</t>
  </si>
  <si>
    <t>01.12. Акт 2706 кв.4. Засор канализации. Пробивка тросом из колодца до дома и из дома до колодца - посторонние предметы, полиэтилен, тряпки</t>
  </si>
  <si>
    <t>02.12. Акт 2736. Закрытие слуховых окон на чердаке.</t>
  </si>
  <si>
    <t>03.12. Акт 2754 кв.13. Нет света  во 2 подъезде. Замена лампочек 3 шт.</t>
  </si>
  <si>
    <t>26.01.Акт 181 кв.7. Нет электроэнергии в квартире. Осмотрено, нет фазы с высокой, вызвал РЭС</t>
  </si>
  <si>
    <t>22.02.Акт 401. Плановый осмотр канализации, нарушений работы не обнаружено</t>
  </si>
  <si>
    <t>26.02.Акт 433 кв.5. Замена эл.лампочек 4 шт</t>
  </si>
  <si>
    <t>04.03.Акт 508 кв.13. Под ванной течет труба, осмотрено, течь устранили сами</t>
  </si>
  <si>
    <t>05.03.Акт 521 кв.13. Установка унитаза</t>
  </si>
  <si>
    <t>06.03.Акт 529 Нет света в подъезде. Замена лампочек 2 шт</t>
  </si>
  <si>
    <t>06.03.Акт 536 Плановый осмотр подвалов, осмотрено течей нет</t>
  </si>
  <si>
    <t>29.03.Акт 756 кв.13. Нет света в квартире, заявка снята, работает РЭС</t>
  </si>
  <si>
    <t>11.04.Акт 873, Откидать снего от отмосток. Снег откидан</t>
  </si>
  <si>
    <t>29.05.Акт 1241 Забита канализация. Осмотрено, полная выгребная емкость</t>
  </si>
  <si>
    <t>05.06.Акт 1277 кв.12. Замена автомата 25А 1 шт</t>
  </si>
  <si>
    <t>06.06.Акт 1293 кв.12. Поменять автомат. Замена автоматов 25А - 2 шт</t>
  </si>
  <si>
    <t>02.07.Акт 1443 кв.6. 1 и 2 этаж нет света, замена 4х лампочек</t>
  </si>
  <si>
    <t>20.08.Акт 1695 кв 1. Заменить стояк хвс, произведена замена стояка хвс из техподполья 3 п.м.</t>
  </si>
  <si>
    <t>24.09.Акт 1969 кв.9,10,11,12. Поднялась канализация в унитазах, ванной. Прочистили тросом выпуска из дома до колодца</t>
  </si>
  <si>
    <t>25.09.Акт 1984 кв.9,10. Засор канализации. Прочистили тросом из колодца до дома - прочищено</t>
  </si>
  <si>
    <t>09.10.Акт 2140 кв.12. Нет света во 2 подъезде. Замена лампочек 4 шт</t>
  </si>
  <si>
    <t>11.10.Акт 2192 кв.48. Плохой напор воды в квартирах. Обследовано, кв 4,6, напор очень слабый, необходимо провреить ввод со стороны ООО "Аква-терминал"</t>
  </si>
  <si>
    <t>20.10.Акт 2237 кв 4,8, Плохой напор воды, замена в 4 кв 5 м трубы 24.10.</t>
  </si>
  <si>
    <t>05.11. Акт 8326 кв.10. Не поступает вода в унитаз, прочистка клапана сливного бачка</t>
  </si>
  <si>
    <t>08.11.Осмотр канализационных сетей, смотровых колодцев</t>
  </si>
  <si>
    <t xml:space="preserve">12.11. Акт 2519 кв.4. Нет света в квартире. Осмотрено, сгорел пакетный выключатель. Установка автомата 40А </t>
  </si>
  <si>
    <t>15.11. Акт 2564 Осмотр канализации, осмотрено, замечаний нет</t>
  </si>
  <si>
    <t>10.12.Акт 2803 кв 10,11, Засор канализации, пробивка тросом из колодца до дома</t>
  </si>
  <si>
    <t>Экономия  денежных средств по жилому дому на 01.01.2014г</t>
  </si>
  <si>
    <t>15.01. Акт 121 кв.10  Нет света, нет светильника. Замена лампочек 3 шт.. Установка контрольного замка на эл.щит, установка навесов, на второй подъезд нужен светильник.</t>
  </si>
  <si>
    <t>04.02.Акт 259 кв.4. Забита канализация, устранено прочищено до колодца</t>
  </si>
  <si>
    <t>22.02. Акт 402. Осмотр канализации, нарушений работы канализации не обнаружено</t>
  </si>
  <si>
    <t>22.02.Акт 409 кв.4. Засор канализации, устранено, прочищено до колодца</t>
  </si>
  <si>
    <t>23.02.Акт 410 кв.10. Течь трубы на кухне кв.14 (топят сверху). Прочистили  канализацию</t>
  </si>
  <si>
    <t>24.02.Акт 414 кв.14. Подтекает кран. Смеситель на раковине в ванной отключен, поставлена заглушка</t>
  </si>
  <si>
    <t>24.02.Акт 415 кв.4. Забита канализация. Прочищено тросом из подпола до емкости</t>
  </si>
  <si>
    <t>28.03.Акт 728 кв.9. Засор канализации, в унитазе стоит вода, по стене течет в подвале, устранено, прочищено до колодца</t>
  </si>
  <si>
    <t>08.04. Акт 839 кв.10 Отбросить снег с отмосток, отмостки расчищены</t>
  </si>
  <si>
    <t>19.04.Акт 947 кв.2. Забита канализация в туалете и в ванной, прочищено тросом из квартиры с чердака, из соседней квартиры через трубу из колодца. Нужно срочно откачивать емкость</t>
  </si>
  <si>
    <t>22.04.Акт 964 кв2,3 Поднялась канализация, течет через верх, устранено, прочистили канализацию, центральный стояк</t>
  </si>
  <si>
    <t>23.04. Акт 976 кв.4. Забита канализация. В кв.4. хозяев нет дома</t>
  </si>
  <si>
    <t>25.04.Акт 998  кв.2. Засор канализации, прочищено тросом с чердака до колодца</t>
  </si>
  <si>
    <t>27.04. Акт 1015 кв.2. Засор канализации, прочищено</t>
  </si>
  <si>
    <t>02.05. Акт 1038 кв 2,3 застой канализации, прочищено тросом с чердака до колодца</t>
  </si>
  <si>
    <t>13.05. Акт 1132 кв.13. Откачать воду в подвале. Осмотрено, требуется откачать грунтовые воды из подвала</t>
  </si>
  <si>
    <t>18.05. Акт 1154 кв.4. Стоит канализация от дома до колодца, осмотрено, переполнены ямы, проводилась откачка, осмотр 19.05. требуется откачка</t>
  </si>
  <si>
    <t>20.05. Акт 1166 кв.13. Откачать воду в подвале, с 12 до 17 проведена откачка воды, уровень снизился на 10см</t>
  </si>
  <si>
    <t>21.05.Акт 1176 кв.13. Заменить водопровод. Осмотрено, определен объем работ</t>
  </si>
  <si>
    <t>17.06. Акт 1357 кв.4. Засор канализации, устранено прочищено до колодца</t>
  </si>
  <si>
    <t>17.06.Акт 1359 кв.13. Нет света в подъезде. Замена лампочек 6 шт, ревизия щита, замена автоматов 25А-3 шт, 35А- 1 шт</t>
  </si>
  <si>
    <t>19.06. Акт 1372 кв.12 Засор стояка в туалете, сильный запах канализации. Прочищено</t>
  </si>
  <si>
    <t>20.06.Акт 1376 кв.9. Забита канализация. Прочищено</t>
  </si>
  <si>
    <t>09.07. Акт 1483 кв.12 Засор канализации, прочистили</t>
  </si>
  <si>
    <t>09.07.Акт 1487а кв.9. Поменять батарею в зале. Осмотрено 11.07. Определен объем работ</t>
  </si>
  <si>
    <t>12.07. Акт 1501 кв.9. В туалете стоит вода в унитазе. Прочищено тросом из колодца до квартиры</t>
  </si>
  <si>
    <t>13.07. Акт 1503 кв.9. Стоит канализация. Прочистили</t>
  </si>
  <si>
    <t xml:space="preserve">19.07.Акт 1538 кв.11 Установить водосчетчик на холодную воду и фильтр. Установлен счетчик на хвс </t>
  </si>
  <si>
    <t>28.07.Акт 1578 кв.10. В ванной и туалете стоит вода, прочищено тросом через унитаз с чердака , из колодца</t>
  </si>
  <si>
    <t>01.08.Акт 1609 кв.10 Забилась канализация - стоит вода в унитазе и в ванной, пробивка тросом канализации с крыши, из колодца через ревизии.</t>
  </si>
  <si>
    <t>18.08.Акт 1676 кв.15 В бачок унитаза не поступает вода. Устранено, прочищен клапан в смывном бачке</t>
  </si>
  <si>
    <t>17.08.Акт 1699 кв.10 Вода стоит в унитазе и туалете. Пробивка тросом лежака канализации из квартиры через ревизии</t>
  </si>
  <si>
    <t>16.08.Акт 1701 кв 8 (4). Нет воды в квартире. Осмотрено, перекрыт кран на 1 этаже в квартире № 4 из-за постоянных затоплений из квартиры 8. В квартире 8 необходимо завести воду в ванную. Устранено 19.08.</t>
  </si>
  <si>
    <t>27.08.Акт 1729 кв.11 Не уходит вода в унитазе. Пробивка тросом лежака канализации через ревизии в кв 11.</t>
  </si>
  <si>
    <t>с 16 по 23 сентября плановые работы по ремонту 1 и 2 подъезда. Оштукатуривание поверхности стен, утепление трубопрводов, ремонт входных дверей, ремонт пола, окраска стен</t>
  </si>
  <si>
    <t>15.09.Акт 1885 кв.15. Плохой напор воды. Устранено, была забита сеточка на фильтре грубой очистки,</t>
  </si>
  <si>
    <t>15.09.Акт 1887 кв.14 Из унитаза постоянно бежит вода. Устранено, не перекрывал клапан на бачке унитаза</t>
  </si>
  <si>
    <t>23.09.Акт 1961 кв 9,10,12. Стоит канализация. Пробивка тросом канализации из дома в подвал</t>
  </si>
  <si>
    <t>23.09.Акт 1963 кв.5. Плавятся провода под счетчиком,  ввод в квартиру. Замена кабеля от щита до счетчика 6 м прокладка по штукатурке кабель ВВГ 3х6</t>
  </si>
  <si>
    <t>26.09.Акт 1994 кв.12. Сделать дезинфекцию в подвале. Дезинфекция проведена 27.09.</t>
  </si>
  <si>
    <t>01.10. акт 2058 кв.6. Нет электричества в квартире. Осмотрено неисправность в квартире</t>
  </si>
  <si>
    <t>13.10.Акт 2176 кв.9. Подтекает батарея внизу в соединении, подтянута гайка  на кране, устранено</t>
  </si>
  <si>
    <t>31.10.Акт 2307 кв.5. Закрыть люк на крышу,течь воды с крыши на дверьЛюк закрыт (без замка) Протечки на кровле не обнаружено. Потеки на стене сухие 01.11.2013</t>
  </si>
  <si>
    <t>01.11.Акт 2314 1 подъезд. Нет света в тамбуре. Замена ламп 1 шт</t>
  </si>
  <si>
    <t>31.10.Акт 2317 кв.13.Холодная батарея в детской, спущен воздух из батареи</t>
  </si>
  <si>
    <t>06.11. Акт 2334 кв.6. С потлка капает вода в квартире. Переложены листы шифера. Укреплен лист профнастила на слуховом окне</t>
  </si>
  <si>
    <t>08.11. Акт 2466. Осмотр системы канализации. Осмотрено, замечаний нет</t>
  </si>
  <si>
    <t>25.10.Акт 2528 кв.12 В подъезде не горит лампочка. Замена лампочек 1 шт</t>
  </si>
  <si>
    <t>15.11. Акт 2565. Плановый осмотр канализации, осмотрено, замечаний нет</t>
  </si>
  <si>
    <t>02.12. Акт 2734. Закрытие слуховых окон на чердаке. Окна закрыты</t>
  </si>
  <si>
    <t>03.12. Акт 2757 кв10,11,12, стоит канализация. Прочищено тросом из колодца в дом через ревизию в кв.11, через ревизию в кв.12, с чердака из колодца, тряпки.</t>
  </si>
  <si>
    <t>26.12. Акт 2900 кв.13 Заменить розетку в комнате. Розетка заменена</t>
  </si>
  <si>
    <t>31.12. Акт 2963 кв 2,3. в квартире запах канализации, засор- стоит вода в туалете и в ванной. Пробивка тросом лежака канализации с чердака</t>
  </si>
  <si>
    <t>02.01. Акт 5 течь канализации в подвале.. Устранено, прочистка центральной канализации</t>
  </si>
  <si>
    <t>09.01. Акт 35 , 1,3,4 подъезды. Нет света в подъездах, замена лампочек 10 шт</t>
  </si>
  <si>
    <t>11.01.Акт 120 кв.57. Батареи чуть теплые. Устранено стояки перепустили</t>
  </si>
  <si>
    <t>16.01. Акт 104 кв.44 Течь воды с крыши на кухне. Осмотрено  Теплеет вентиляция, в коробе тает снег</t>
  </si>
  <si>
    <t>16.01.Акт 109 кв.2. Запах канализации в квартире. Осмотрено, запаха нет , в ванной комнате сырые тряпки</t>
  </si>
  <si>
    <t>16.01. Обследование вентиляции, прочистка вентиляции на крыше.</t>
  </si>
  <si>
    <t>18.01.Акт 128 кв.1. Холодный стояк, перепущено</t>
  </si>
  <si>
    <t>23.01.Акт 352 кв.42. Очень плохо бежит вода. Устранено поменяли стояк на кухне из подвала до 42 квартиры</t>
  </si>
  <si>
    <t>24.01.Акт 163 кв.25 Течь воды с крыши в подъезд, обследовано на чердаке протекает вентиляционный короб</t>
  </si>
  <si>
    <t>24.01.Акт 164 1 подъезд., перекрыть полотенцесушители в 1 комнатных квартирах, полотенцесушители перекрыты.</t>
  </si>
  <si>
    <t>25.01. Акт 171 кв.48. В подвале в углу дырка открыта, устранено, закрыто утеплителем</t>
  </si>
  <si>
    <t>25.01. Акт 175 кв.8 холодные трубы в туалете, устранено полотенцесушитель открыт</t>
  </si>
  <si>
    <t>25.01.Акт 177 кв.7. Холодная батарея отпления в зале. Перепущен стояк</t>
  </si>
  <si>
    <t>27.01.Акт 191 кв.1 В зале холодный стояк. Перекрыли стояк (полотенцесушитель 1 комнатные квартиры), стояк в кв1 прогревается</t>
  </si>
  <si>
    <t>30.01.Акт 220 2,4 подъезды, нет света. Замена лампочек 8 шт</t>
  </si>
  <si>
    <t>4.03.Акт 504 кв.2 В туалете сбочка непрерывно бежит вода, осмотрено, выполнена регулировка смывного бочка</t>
  </si>
  <si>
    <t>01.02.Акт 248 кв.3 Течь канализации в подвале. Осмотрено, устранено, прочищен центральный стояк</t>
  </si>
  <si>
    <t>01.02.Акт 250 кв.1. Плохо уходит вода в унитазе. 02.02. Прочищена канализация</t>
  </si>
  <si>
    <t>02.02. акт 7а1 подвал, прочистка канализации и установка заглушек, осмотрено, прочищего, заглушки установлены</t>
  </si>
  <si>
    <t>03.02. акт 257 2 подвал, в подвал течет вода, прочищена канализация</t>
  </si>
  <si>
    <t>04.02.Акт 260 кв 30. В сливной бачок не поступает вода. Устроанено, прочищен кран от стояка</t>
  </si>
  <si>
    <t>11.02.Акт 297 кв.25. Нет света в подъездах. Замена лампочек 10 шт во всех подъездах</t>
  </si>
  <si>
    <t>11.02.Акт 303 кв.9. Нет света в квартире, осмотрено, выбило автомат в щите</t>
  </si>
  <si>
    <t>20.02.Акт 359 кв.33. Не поступает вода в смывной бачок, прочистка отвода замена крана на стояке</t>
  </si>
  <si>
    <t>18.02.Акт 359 кв.33. Не поступает вода в смывной бачок, осмотрено требуется замена крана на стояке хвс</t>
  </si>
  <si>
    <t>22.02.Акт 396, плановые прочистить все вытяжки. Прочищено на крыше по стоякам</t>
  </si>
  <si>
    <t>22.02.Акт 404 кв.57, оголенный провод на 1 этаже, осмотрено оголенных проводов не обнаружено</t>
  </si>
  <si>
    <t>22.02.Акт 405. Плановый осмотр канализации, осмотренно, нарушений работы системы не обнаружено</t>
  </si>
  <si>
    <t>23.02.Акт 44 Холодный батареи на кухне и в туалете, перепущено</t>
  </si>
  <si>
    <t>23.02.Акт 412 кв.48 в щите плавятся провода, устранено, ревизия щита 25.02.</t>
  </si>
  <si>
    <t>24.02.Акт 417 кв.1. Холодные батареи в зале. Стояк перепущен, перекрыт стояк полотенцесушителя</t>
  </si>
  <si>
    <t>27.02.Акт 437 кв.17. Поставить розетку в комнате. Замена розетки выполнена</t>
  </si>
  <si>
    <t>04.03. Акт 507 кв.45, в комнате капает с потолка. Обследовано, включено в план работы на летний период</t>
  </si>
  <si>
    <t>05.03.акт 522 кв.2. Течь воды из сливного бачка в унитаз, устранено</t>
  </si>
  <si>
    <t>06.03.Акт 531 кв.60. Нет света на 5 этаже. Замена лампочек 3 шт, установка настенного патрона 1 шт-11.03</t>
  </si>
  <si>
    <t>06.03.Акт 538 кв.17. Закрыть щитовую в подъезде. Закрыл эл.щит на этаже</t>
  </si>
  <si>
    <t>11.03.акт 570 кв.3. Подтекает вода с отопления в подвале. Устранено</t>
  </si>
  <si>
    <t>11.03.Акт 564 кв.41 Установка водосчетчика, осмотрено</t>
  </si>
  <si>
    <t>11.03.Акт 572 кв.2. не поступает вода в унитаз, устранено</t>
  </si>
  <si>
    <t>11.03.Акт 572 кв 2. не работает эл.печь. Устранено, эл.печь включена</t>
  </si>
  <si>
    <t>13.03.Акт 590 кв.4. Холодные батареи в квартире. Перепуск стояков</t>
  </si>
  <si>
    <t>13.03.Акт 593 кв.1. Холодные батареи на кухне в зале. Перепущены стояки, перепаяны сбросники</t>
  </si>
  <si>
    <t>14.03.Акт 606 кв.41 не работает полотенцесушитель, перепущено</t>
  </si>
  <si>
    <t>17.03.Акт 648 кв.4. Течь канализации в подвале. Устранено, прочищена центральная канализация</t>
  </si>
  <si>
    <t>19.03.Акт 657 кв.3. В подвале бежит канализация. Прочищено тросом 1,2,3 подвалы</t>
  </si>
  <si>
    <t xml:space="preserve">25.03.акт707 выполнены работы по установке в/сч </t>
  </si>
  <si>
    <t>27.03.Акт 722 кв.25. Нет света в подъездах. Замена лампочек 10 шт</t>
  </si>
  <si>
    <t>28.03.Акт 736 кв.8. Из бачка сливного бежит вода, устранено</t>
  </si>
  <si>
    <t>29.03.Акт 752 кв.58. Выбивает автомат, нет света в квартире. Замена автомата</t>
  </si>
  <si>
    <t>30.03.Акт 759 кв.8. Бежит вода из бочка, выполнено 31.03.акт</t>
  </si>
  <si>
    <t>07.05. Акт 1068 плановый осмотр подвалов. Осмотрено, инженерные сети работают исправно</t>
  </si>
  <si>
    <t>01.04.Акт 771 кв.3. На кухне над раковиной с трубы сочится вода, устранено, перекручена гайка на стояке</t>
  </si>
  <si>
    <t>04.04.Акт 806 плановый осмотр подвалов. В подвалах сухо</t>
  </si>
  <si>
    <t>05.04.Акт 821 кв.4. В щитке отгорел провод от квартиры. Ревизия щита, замена провода, протяжка контактов</t>
  </si>
  <si>
    <t>05.04.Акт 824 кв.4. Нет электроэнергии в квартире. При осмотре установлено, что в квартире электроэнергия исправна</t>
  </si>
  <si>
    <t>15.04.Акт 906 1 подъезд. Нет света. Замена лампочек 2 шт 24.04.</t>
  </si>
  <si>
    <t>18.04.Акт 936. Плановый осмотр подвалов. Нарушений работы систем подвальных коммуникаций не обнаружено</t>
  </si>
  <si>
    <t>19.04.Акт 948 кв.7. В квартире нет света. Осмотрено, сгорел пакетный выключатель, устранено</t>
  </si>
  <si>
    <t>11.03.Акт 577 3 подъезд. Закрыть эл.ящики на 2,3 этажах, щиты закрыты 12.03.</t>
  </si>
  <si>
    <t>22.03.Акт 694 кв.42 Плохой напор воды в ванной, осмотрено, необходимо разобрать короб для замены крана</t>
  </si>
  <si>
    <t>25.04.Акт 994 кв.7. Нет света. Замена автомата 40А-1 шт</t>
  </si>
  <si>
    <t>25.04.Акт 1001 кв.13. Течь трубы за унитазом. Нарушений работы системы канализации и водоснабжения не обнаружено</t>
  </si>
  <si>
    <t>26.04.Акт 1008 кв.19. Засор канализации, устранено, прочистка лежака в подвал</t>
  </si>
  <si>
    <t>27.04.Акт 1013 кв.13. Подтекает вода за унитазом стоит вода, осмотрено нужна замена тройника, который идет в кухню.</t>
  </si>
  <si>
    <t>15.05. Замена тройника в кв.13</t>
  </si>
  <si>
    <t>26.04.Акт 1017 кв.19 Течь канализации на кухне, осмотрено, требуется замена сифона</t>
  </si>
  <si>
    <t>27.04. кв.19. Установка сифона на кухне</t>
  </si>
  <si>
    <t>30.04. Акт 1031 кв.13. Течь трубы в туалете за унитазом.осмотрено сгнила местная канализация</t>
  </si>
  <si>
    <t>07.05.Акт 1070 кв.43. Течет стояк хвс. Устранено, заварили</t>
  </si>
  <si>
    <t>08.05. Акт 1098 кв.3. Течь канализации в подвале, прочистили</t>
  </si>
  <si>
    <t>12.05.Акт 1119 кв.3. Течь канализации в подвале, прочищено</t>
  </si>
  <si>
    <t>13.05.Акт 1128 1 подвал. Заменить заглушки и манжеты на канализации. Произведена замена заглушек и манжетов на канализации</t>
  </si>
  <si>
    <t>18.05.акт 1156 кв.3. Засор канализации в подвале, прочищено</t>
  </si>
  <si>
    <t>19.05.Акт 1162 3 подвалю Стоит канализация. Осмотрено, засор в первом и втором подвале, требуется разборка системы и чистка труб, а так же выравнять трубы с наклоном по всей длине</t>
  </si>
  <si>
    <t>20.05. Акт 1165 1 подвал. Замена канализационных труб</t>
  </si>
  <si>
    <t>21.05. Акт 1186 Зачистить места розлива стоков. Проведены работы по зачистке и дезинфекции</t>
  </si>
  <si>
    <t>21.05.Акт 1187 Открыть окна в подвал, устранено, окна открыты</t>
  </si>
  <si>
    <t>21.05.Акт 1189 Нет света в подъездах, замена лампочек 10шт</t>
  </si>
  <si>
    <t>21.05.Акт 1194 кв.57 В ванной заменить трубы и поставить водосчетчик, осмотрено нужно заменить гребенку по квартире.</t>
  </si>
  <si>
    <t>22.05.Акт 1195 кв.16. Перекрыть полотенцесушитель. Осмотрено, нет возможностити выполнить заявку, кран находится в кабинке подвала кв №7</t>
  </si>
  <si>
    <t xml:space="preserve">24.05.Акт 1213 кв.3. Течь канализационной трубы в туалете, устранено. </t>
  </si>
  <si>
    <t>25.05.Акт 1215 кв.3. Течь канализациолнной трубы в подвале, устранено</t>
  </si>
  <si>
    <t>31.05.Акт 1254 кв.3. Заменить гофры, устранено установили гофру на унитаз</t>
  </si>
  <si>
    <t>05.06.Акт 1275 кв.16 Перекрыть стояк отопления. Систему отопления перекрыли ( 3стояка)</t>
  </si>
  <si>
    <t>06.06.Акт 1287. Плановый осмотр подвалов, подвалы сухие</t>
  </si>
  <si>
    <t>21.06.Акт 1382 кв.8. Заменить батареи отопления, осмотрено, необходимо заменить конвекторы (кухня д 15, комната д 20)</t>
  </si>
  <si>
    <t>25.06.Акт 1396 кв 25,22. Плохой напор воды. Осмотрено, не было воды из-за перепада давления на водоканале.</t>
  </si>
  <si>
    <t>28.06.Акт 1418 а кв.60 В спальне протекает потолок. Осмотрено, нужно на крыше востсановить  шов от угла до угла по троцу дома</t>
  </si>
  <si>
    <t>30.06.Акт 1429 кв.25. Во втором подъезде в подвале сильно течет вода. Прочищена тросом канализация в подвале № 2</t>
  </si>
  <si>
    <t>30.06.Акт 1430 кв.25 Нет света в подъезде. Устранено, замена лампочек 5 шт</t>
  </si>
  <si>
    <t>01.08.Акт 1610 4 подъезд. Нет света в подъезде. Замена лампочек 4 шт</t>
  </si>
  <si>
    <t>01.08.Акт 1614 кв.25. Течь канализации в подвале, прочищено</t>
  </si>
  <si>
    <t>07.08.Акт 1648 кв.6. На кухне нет воды, Засор крана на стояке хвс, прочищено</t>
  </si>
  <si>
    <t>08.08.Акт 1652 2 подвал. Течь канализации в подвале. Произведена частичная замена кухонного стояка канализации 1 п.м. 9,08</t>
  </si>
  <si>
    <t>18.08.Акт 1673 кв.25 Нет света во втором подъезде. Замена лампочек 4 шт</t>
  </si>
  <si>
    <t>18.08.Акт 1674 кв.25 В подвале во 2 подъезде подтекает канализация. .Прочистка тросом стояка канализации во 2 подвале</t>
  </si>
  <si>
    <t xml:space="preserve">19.08.Акт 1679 Вода в 1и 2 подвалах. Производилась откачка грунтовых вод из подвалов 1,2 16,19 августа электронасосом, вода прибывает вновь на прежний уровень. </t>
  </si>
  <si>
    <t>22.08.побежал кран  в туалете. Осмотрено, нужна замена гибкой подводки.</t>
  </si>
  <si>
    <t>30.08.Акт 1751 кв.37. В 2х комнатах свет периодически включается и выключается. Осмотрено, нарушений в щите не обнаружено, розетки в комнате работают</t>
  </si>
  <si>
    <t>07.09.Акт 1836 кв.25. Засор канализации во 2 подъезде. Прочистка тросом лежака канализации во 2 и 3 подвалах</t>
  </si>
  <si>
    <t>17.07.Акт 1523 1 подъезд. Нет света 1 подъезд. Замена лампочек 2 шт</t>
  </si>
  <si>
    <t>26.07. Акт 1571 кв.25. В подъезде не работает патрон. Ремонт патрона, замена лампочек 5 шт</t>
  </si>
  <si>
    <t>28.07.Акт 1577 кв.27. Нет холодной воды. Устранено, прочистили гибкую подводку и кран на стояке</t>
  </si>
  <si>
    <t>04.09. Акт 1813 кв.25. Во 2 подвале прорвало канализацию под 3х комнатными квартирами. Пробивка тросом канализации во 2-3 подвалах</t>
  </si>
  <si>
    <t>05.09.Акт 1825 кв.25. Нет света в подъездах, замена лампочек 2 шт</t>
  </si>
  <si>
    <t>06.09.Акт 1826 2 подвал. Засор канализации. Прочистка тросом лежака канализации во 2,3,4 подвалах, посторонние предметы (тряпки, салфеткикартофель)</t>
  </si>
  <si>
    <t>03.09. Акт 1827 кв.48. На кухне плохой напор. Обследовано, засор по стояку, прочищено</t>
  </si>
  <si>
    <t>09.09.Акт 1843 кв.25 Течь воды в подвале. Прочистка тросом лежака канализации в подвалах 2,3</t>
  </si>
  <si>
    <t>10.09.Акт 1848 плановые работы по ремонту лежака канализации. Пробивка системы канализации 1,23, подвал с разборкой лежака</t>
  </si>
  <si>
    <t xml:space="preserve">10.09.Акт 1849 Плановые уборка теплоузла. </t>
  </si>
  <si>
    <t>16.09.Акт 1890 4 подъезд нет света. Замена лампочек 1 шт</t>
  </si>
  <si>
    <t>17.09.Акт 1898 кв.37. Побежал кран на стояке. Осмотрено перекрыл воду, установил заглушку</t>
  </si>
  <si>
    <t>19.09.Акт 1920 кв.25 Нет света в подъезде. Замена лампочек 2шт</t>
  </si>
  <si>
    <t xml:space="preserve">19.09.Акт 1923 кв.58 Выбило автомат в подъезде. Замена вставки ПН </t>
  </si>
  <si>
    <t>19.09.Акт 1934 кв.37. Плохой напор на кухне и в ванной. Произведена замена крана на стояке, прочистка отвода</t>
  </si>
  <si>
    <t>26.09.Акт 1992 кв.39. Закрыть эл.щиты на этаже. Щиты закрыл</t>
  </si>
  <si>
    <t>23.09.Акт 2004 кв 41,3,25,2 холодные батареи. Перепуск стояков во всем доме</t>
  </si>
  <si>
    <t>26.09.Акт 2014 кв.13. ,7,25 холодные батареи. Перепуск стояков</t>
  </si>
  <si>
    <t>26.09.Акт 2018. Холодные батареи. Перепущены стояки 27.09.</t>
  </si>
  <si>
    <t>28.09.Акт 2029 кв.18,холодные батареи. Обследовано, кухонный стояк работает через полотенцесушители - не по проекту, самовольная врезка стояка в . Поступление воды из квартиры 21 (в стене в кухне из-за излома металопластика из водонагревателя)</t>
  </si>
  <si>
    <t>27.09.Акт 2065 кв.59 Проистить канализацию от ванной до раковины. Прочищено тросом по лежаку в квартире</t>
  </si>
  <si>
    <t>29.09.Акт 2069 кв.47. Течь крана для перекрытия воды на смывном бачке. Осмотрено, нужна замена крана на унитаз</t>
  </si>
  <si>
    <t>01.10.Ак2052 Нет света 3 подъезд. Замена лампочек 5шт</t>
  </si>
  <si>
    <t>02.10.Акт 2064 Нет света 2 подъезд. Замена лампочек 7 шт</t>
  </si>
  <si>
    <t>03.10.Акт 2067 кв.17. Слабый напор воды во всей квартире. Устранено, был забит фильтр грубой очистки</t>
  </si>
  <si>
    <t>03.10Акт 2085 кв.18..Нет тепла  в зале, на кухне. Перепущены стояки в подвале</t>
  </si>
  <si>
    <t>04.10.Акт 2088 кв.8. Холодный полотенцесушитель. Перепущен стояк, в подвале</t>
  </si>
  <si>
    <t>05.10.Акт 2099 кв.18 Нет тепла в зале, перепуск стояков</t>
  </si>
  <si>
    <t>05.10.Акт 2100  кв.41. Течь батареи на кухне. Осмотрено, требуется сварка или замена</t>
  </si>
  <si>
    <t>05.10.Акт 2101 кв.18. Холодный зал, ванна, кухня. Перепущены стояки</t>
  </si>
  <si>
    <t>05.10.Акт 2103 кв.17. Акт 2103 кв.17. Холодные батареи, перепуск стояков</t>
  </si>
  <si>
    <t>06.10.Акт 2108 кв.31. Из раковины течет вода на пол, отмена</t>
  </si>
  <si>
    <t>06.10.Акт 2119 кв.17. Холодные батареи. Перепуск стояков</t>
  </si>
  <si>
    <t>08.10.Акт 2149 кв.30. Батарея чуть теплая, перепуск стояков</t>
  </si>
  <si>
    <t>10.10.Акт 2157 Закрыть электрощит, обгорел провод.  Устранено</t>
  </si>
  <si>
    <t>11.10.Отключить стояк на кухне кв.41. Произведено отключение и подключение подачи тепла по стояку</t>
  </si>
  <si>
    <t>11.10.Акт 2174. кв 41. Не работает полотенцесушитель в ванной. Перепущен воздух на стояке</t>
  </si>
  <si>
    <t>13.10.Акт 2175 кв.3. Бежит канализация в подвал. Прочистка тросом стояка канализации через ревизии в кв.2., тряпки</t>
  </si>
  <si>
    <t>12.10.Акт 2179 кв.27. Не поступает электроэнергия. Осмотрено, выбило автомат</t>
  </si>
  <si>
    <t>15.10.Акт 2193 кв.7. Холодные батареи. Осмотрено, поверность отопительных приборов имеет температуру около 40 град, стояк перепущен в подвале</t>
  </si>
  <si>
    <t>16.10.Акт 2208 кв.25. Перегорела проводка в тамбуре, Замена эл.лампочек 2шт</t>
  </si>
  <si>
    <t>18.10.Акт 2214 кв.41 Холодно, перепуск стояков в подвале</t>
  </si>
  <si>
    <t>23.10. Акт 2249 кв.25. Холодный змеевик в анной. Перепуск стояка</t>
  </si>
  <si>
    <t>05.11. Акт 2337 кв.52. Нет света в 4 подъезде. Замена лампочек 6шт</t>
  </si>
  <si>
    <t>06.11. Акт 2341 кв.32. Холодная кухня, полотенцесушитель. Стояк перепущен</t>
  </si>
  <si>
    <t>07.11. Акт 2345. Плановое остекление окон в подъездах поликарбонатом</t>
  </si>
  <si>
    <t>08.11. Акт 2470  Плановый осмотр системы канализации. Осмотрено, замечаний нет</t>
  </si>
  <si>
    <t>09.11. Акт 2479 кв.1. Холодные батареи в зале , устранено, стояк перепущен</t>
  </si>
  <si>
    <t>10.11. Акт 2485 кв.17. Холодные батареи. Перепуск стояков</t>
  </si>
  <si>
    <t>12.11. Акт 2504. осмотр системы канализации, осмотрено, установлена заглушка</t>
  </si>
  <si>
    <t>12.11. Акт 2512 кв 7,10,13. Холодные батареи. Перепуск стояков, подача 46 град, обратка 38град</t>
  </si>
  <si>
    <t>11.11. Акт 2513 кв.25. Холодно в квартире. Перепуск стояков</t>
  </si>
  <si>
    <t xml:space="preserve">13.11. Акт 2530 кв.24. Заменить кран на стояке. Замена крана на вводе </t>
  </si>
  <si>
    <t>14.11. Акт 2540 кв.31. Холодные батареи. Обследовано температура на подаче 46 град, на обратке 37 град</t>
  </si>
  <si>
    <t>14.11. Акт 2548 кв.47. не работает электроплита. Осмотрено, выбило автомат в щите</t>
  </si>
  <si>
    <t>15.11. Акт 2554 Нет света вподъезде. Замена лампочек 5 шт.</t>
  </si>
  <si>
    <t>15.11. Заявка 2561  Осмотр канализационных сетей, осмотрено, замечаний нет</t>
  </si>
  <si>
    <t>19.11. Акт 2587. Плановый осмотр подвалов, замечаний не обнаружено</t>
  </si>
  <si>
    <t>20.11. Акт 2602  Установка тамбурных дверей, стекление окон, ремонт коробки</t>
  </si>
  <si>
    <t>20.11. Акт 2603 кв.56. Нет света в коридоре, туалете. Включен автомат</t>
  </si>
  <si>
    <t>20.11. Акт 2604 кв.56. На стояке отопления образовался свищ. Устранено, установил хомут на стояке отопления в зале.</t>
  </si>
  <si>
    <t>22.11. Акт 2616 Холодные батареи. Перепущен стояк в подвале</t>
  </si>
  <si>
    <t>25.11. Акт 2627 кв.8. Холодные батареи. Перепущено</t>
  </si>
  <si>
    <t>25.11. Акт 2628 кв.7. Холодные батареи, перепущено</t>
  </si>
  <si>
    <t>25.11. Акт 2631 . Засор канализации в подвале. Прочищено тросом</t>
  </si>
  <si>
    <t>25.11. Акт 2632 кв.8. Не держит кран в ванной. Подтянута гайка на смесителе</t>
  </si>
  <si>
    <t>26.11. Акт 2645 кв 7,10,13. Холодные батареи. Перепущены стояки</t>
  </si>
  <si>
    <t>26.11. Акт 2646 кв.6. Завоздушена батарея. Перепущен стояк</t>
  </si>
  <si>
    <t>27.11. Акт 2673 кв.4. Ходлодные батареи. Перепущен стояк отопления в подвале, спущен воздух в кв.7,13</t>
  </si>
  <si>
    <t>28.11. Акт 2682 кв.48. Отключение несанкционированной врезки системы отопления</t>
  </si>
  <si>
    <t>28.11. Акт 2695 кв.48. Холодная батарея. Отключена незаконная врезка в соответствии с правилами</t>
  </si>
  <si>
    <t>29.11. Акт 2702, кв.48. Переустановка отопительных приборов. Переустановка отопительных приборов 2 шт.</t>
  </si>
  <si>
    <t>29.11. Акт 2709 Засор канализации, устранено</t>
  </si>
  <si>
    <t>29.11. Акт 2758. Квю 8. Не работает розетка, осмотрено, требуется замена</t>
  </si>
  <si>
    <t>03.12. Акт 2745. Изготовление установк предупреждающих табличек на доме.</t>
  </si>
  <si>
    <t>02.12. Акт 2750 Нет света 4 подъезд. Замена лампочек 5 шт</t>
  </si>
  <si>
    <t>04.12. Акт 2764 2 подвал. Засор канализации. Прочистка тросом лежака канализации</t>
  </si>
  <si>
    <t>09.12. Акт 2802 кв.33. Прорвало стояк хвс, устранено, замена 1 п.м. трубы</t>
  </si>
  <si>
    <t>11.12. Акт 2837 кв.25. Нет света в подъезде. Замена лампочек 5 шт</t>
  </si>
  <si>
    <t>13.12. Акт 2861 кв.4. Холодные батареи, перпуск стояков</t>
  </si>
  <si>
    <t>14.12. Акт 2865 кв.4. Холодные батареи, обследовано температура на стояках 42-36 град,</t>
  </si>
  <si>
    <t>16.12. Акт 2884 кв.6. Завоздушены батареи. Перепущен стояк 17.12.</t>
  </si>
  <si>
    <t>19.12. Акт 2892 кв.4. Холодно в квартире. Обследовано, сотавлен акт</t>
  </si>
  <si>
    <t>18.12. Акт 2893 кв.4. Холодные батареи. Обследовано, сотавлен акт</t>
  </si>
  <si>
    <t>18.12. Акт 2905 кв.8. Не работает розетка в коридоре. Осмотрено выбило автомат в щите.</t>
  </si>
  <si>
    <t>20.12. Акт 2919, кв.39. На стояке не держит кран. Поставлена заглушка</t>
  </si>
  <si>
    <t>20.12. акт 2931 кв.60. Нет света  в квартире. Выполнено, включил автоматы</t>
  </si>
  <si>
    <t>22.12. Акт 2938 кв.7 Холодные батареи. Стояк перепущен.</t>
  </si>
  <si>
    <t>22.12. Акт 2939 кв.25. Течь канализации в подвале. Пробивка тросом лежака канализации во 2 подвале.</t>
  </si>
  <si>
    <t>23.12. Акт 2960 кв.7 Холодные батареи. Перепущены стояки в подвале</t>
  </si>
  <si>
    <t>23.12. Акт 2962 кв.4 Холодные батареи. Перепущены стояки в подвале</t>
  </si>
  <si>
    <t>24.12. Акт 2969 кв.7 Холодные батареи. Перепущены стояки в подвале</t>
  </si>
  <si>
    <t>24.12. Акт 2981 кв.10 Холодные батареи. Перепущены стояки в подвале</t>
  </si>
  <si>
    <t>24.12. Акт 2982 кв.4 Холодные батареи. Перепущены стояки в подвале</t>
  </si>
  <si>
    <t>23.12. Акт 2986 кв.31 Холодные батареи. Перепущены стояки в подвале</t>
  </si>
  <si>
    <t>24.12. Акт 2987 кв.25 В квартире холодно, осмотрено в квартиере 18-20град</t>
  </si>
  <si>
    <t>25.12. Акт 2896 кв.47. Поменять вентиль в санузле. Произведена замена крана к унитазу</t>
  </si>
  <si>
    <t>25.12. Акт 2997 кв.4,7,10 В квартире холодно, перепущено</t>
  </si>
  <si>
    <t>25.12. Акт 2998 кв.48  в  квартире холодно, перепущено</t>
  </si>
  <si>
    <t>26.12. Акт 2960 кв.7 Холодные батареи. Перепущены стояки в подвале</t>
  </si>
  <si>
    <t>22.12. Акт 2999 кв.4. Холодные батареи. Стояки перепущены</t>
  </si>
  <si>
    <t>27.12. Акт 2906  Засор канализации. Прочищено до колодца</t>
  </si>
  <si>
    <t>27.12. Акт 2916 кв.41. Холодные батапреи. Осмотрено, был перекрыт стояк, перепущено</t>
  </si>
  <si>
    <t>27.12. Акт 2919 кв.4. Самовольный сброс воды со стояка отопления, арматура на стояке перекрыта.</t>
  </si>
  <si>
    <t>27.12. акт 2920 кв.31. Холодные батареи в доме. Обследовано, отопительные приборы имееют температуру стояка</t>
  </si>
  <si>
    <t>27.12. Акт 2921 кв.25. Со стороны зх комнатных квартир вода течет в подвал. Прочищено тросом во 2,3 подвалах</t>
  </si>
  <si>
    <t>28.12. Акт 2922 2,34 подвал, засор канализации. Прочистка тросом  лежака канализации</t>
  </si>
  <si>
    <t>29.12. Акт 2924 кв.25. В подвале течет вода. Пробивка тросом лежака канализации в подвале</t>
  </si>
  <si>
    <t>30.12. Акт 2951 Ремонт канализации, разборка лежака канализации во 2,3 подвалах, очистка труб, сборка</t>
  </si>
  <si>
    <t>Доходов по управлению и текущему содержанию жилого дома</t>
  </si>
  <si>
    <t xml:space="preserve"> жилого дома   № 2а по улице  Пушкина  за 2013 г</t>
  </si>
  <si>
    <t>уборка снега от дома</t>
  </si>
  <si>
    <t>27.01.Акт 189 8 подъезд. На крыше упали вытяжки. Обследовано, работы по установке крышки вытяжки бутут выполнены в летний период</t>
  </si>
  <si>
    <t>24.01.Акт 167 кв.113. Холодная батарея на кухне, перпуск стояков</t>
  </si>
  <si>
    <t>25.01.Акт 176 кв.110. Холодные батареи на кухне. Перепуск стояков</t>
  </si>
  <si>
    <t>01.01.Акт 3 кв.61. Засор канализации. Прочищено тросом через унитаз до колодца</t>
  </si>
  <si>
    <t>04.01.Акт 13 кв.50. Течь крана на кухне. Произведена замена смесителя на кухне</t>
  </si>
  <si>
    <t>09.01.Акт 44 кв.38. Плохой напор воды в квартире. Осмотрено, требуется замена разводки по квартире</t>
  </si>
  <si>
    <t xml:space="preserve">15.01.Акт 87 кв.56. Нет воды в квартире. Произведена замена кранов на стояках </t>
  </si>
  <si>
    <t>15.01.Акт 94 кв.44. Из водонагревателя капает вода при включении холодной воды. 15.01., не было дома, 16.01. отказались от заявки</t>
  </si>
  <si>
    <t>15.01.Акт 96 кв.46, 49. Отключить хвс, перекрыли стояк на кухне, открыли стояк</t>
  </si>
  <si>
    <t>16.01.Акт 101 кв.53. Не поступает вода в сливной бачок, устранено, прочистили клапан на унитазе.</t>
  </si>
  <si>
    <t>04.01.Акт 15 кв.94. В квартире мигант свет, осмотрено, перегрузка эл.сети при одновременном включении приборов</t>
  </si>
  <si>
    <t>06.01.Акт 28 7 подъезд. Нет света в подъезде и на улице. Замена лампочек 6 шт, на улице требуется замена светильника</t>
  </si>
  <si>
    <t>09.01. Акт 39 кв.54. Нет света в коридоре, замена лампочек 1 шт</t>
  </si>
  <si>
    <t>09.01. Акт 43 кв.76. Нет света на 1 этаже. Замена лампочек 3 шт</t>
  </si>
  <si>
    <t>12.01.Акт 69 кв.82. Нет света на 3 этаже, замена лампочек 3 шт</t>
  </si>
  <si>
    <t>14.01.Акт 80 кв 71. нет света 5 подъезд. Замена лампочек 4 шт, в маленьком тамбуре нужно прокладывать провод  и установить патрон и выключатель</t>
  </si>
  <si>
    <t>15.01. Акт 93 кв.120 В комнате сгорел выключатель. Замена выключателя</t>
  </si>
  <si>
    <t>16.01.Акт 102 кв.48. Нет света на 1 этаже. Замена лампочек 3 шт</t>
  </si>
  <si>
    <t>17.01. Акт 113 кв.108. Нет света в подъезде. Замена лампочек 3 шт</t>
  </si>
  <si>
    <t>21.01.Акт 146 кв.71 Нет света в подъезде. Замена лампочек 3 шт</t>
  </si>
  <si>
    <t>22.01.Акт 147 кв.1. Перегорели лампочки на 1 этаже. Замена лампочек 2 шт</t>
  </si>
  <si>
    <t>31.01.Акт 235 кв.31. Нет света в подъезде. Замена лампочек 4 шт</t>
  </si>
  <si>
    <t>15.02.Акт 343. Закрыть дверь в подвал. Дверь закрыта</t>
  </si>
  <si>
    <t>03.02.Акт 256 кв.102 . Подтекает кран с холодной водой на кухне. Осмотрено, требуется замена смесителя</t>
  </si>
  <si>
    <t>05.02. Акт 264 кв.108 . Нет тепла в спальне. Произведена замена крана на стояке в подвале</t>
  </si>
  <si>
    <t>07.02.Акт 279 кв.36. В смывной бачок не поступает вода. Устранено, прочищена гибкая подводка</t>
  </si>
  <si>
    <t>14.02.Акт 326  Плановый осмотр подвалов. Осмотрено нарушений систем водоснабжения, отопления и канализации не выявлено</t>
  </si>
  <si>
    <t>17.02.Акт 351 кв.71. В подвале шум воды. Осмотрено, утечки воды не обнаружено</t>
  </si>
  <si>
    <t>18.02.Акт 361 кв.68. Заменить кран в туалете бежит вода.  Осмотрено, заявка снята</t>
  </si>
  <si>
    <t>11.02.Акт 299 кв.101. Посмотреть патрон в ванной, замена патрона</t>
  </si>
  <si>
    <t>15.02.Акт 340 . Нет света в 8 подъезде. Замена лампочек 4 шт</t>
  </si>
  <si>
    <t>21.02.Акт 389 кв.39. Нет света в тамбуре и на 3 этаже. Замена лампочек 3 шт</t>
  </si>
  <si>
    <t>23.02.Акт 413 кв.71. Нет света в 5 подъезде. Замена лампочек 5 шт</t>
  </si>
  <si>
    <t>26.02. Акт 430 кв.39. Нет света в подъезде. Замена лампочек 4 шт</t>
  </si>
  <si>
    <t>27.02.Акт 438 кв.104. Нет света в подъезде. Замена лампочек 5 шт</t>
  </si>
  <si>
    <t>27.02. Акт 445. Подключить выключатель. Подключение выключателя 4 подъезд 1 этаж</t>
  </si>
  <si>
    <t>28.02. Акт 464 кв.85. Нет света в подъезде. Замена лампочек</t>
  </si>
  <si>
    <t>15.03. Акт 622 кв.28. Бежит с потолка. Обследовано, течь по стыкам плит и канализационным трубам</t>
  </si>
  <si>
    <t>15.03. Акт 625 кв.43. Бежит с потолка, течь воды по трубам вентиляции и канализации с крыши. Осмотр всего чердака</t>
  </si>
  <si>
    <t>15.03. Акт 828 3 подъезд. Входная дверь на 1 петле. Ремонт двери</t>
  </si>
  <si>
    <t>01.03. Акт 471 кв.108. Холодная батарея в зале. Из-за отключения электроэнергии остановили котельную, теплоснабжение подключено плсле запуска котельной</t>
  </si>
  <si>
    <t>01.03. Акт 477 5 подвал. Течь трубы отопления в подвале. Осмотрено,  в 4 подвале бежит труба отопления, установлена заглушка</t>
  </si>
  <si>
    <t>03.03. Акт 490 кв.59. Холодная батарея в комнате.  Осмотрено, в кв 46 закрыты стояки</t>
  </si>
  <si>
    <t>03.03. Акт 493 кв.46. Закрыт на центральном отоплении кран на подаче в квартире, выполнено</t>
  </si>
  <si>
    <t>20.03. Акт 669 8 подвал. В подвале бежит вода отопления. Произведена замена подмотки сальника на вентиле</t>
  </si>
  <si>
    <t>31.01. Акт 768а кв.120. Холодная батарея в зале. Обследовано кв.120 , кранов на отопительном приборе нет, перекрыть нет возможности</t>
  </si>
  <si>
    <t>01.03. Акт 475 кв.16. Плохой напор воды. Осмотрено, требуется замена смесителя</t>
  </si>
  <si>
    <t xml:space="preserve">07.03. Акт 547 Плановый осмотр подвалов. Нарушение работы канализации, водоснабжения и отопления не обнаружено </t>
  </si>
  <si>
    <t>14.03.Акт 608 кв.76. Сломался кран на кухне. Осмотрено, нужна замена крана на стояке хвс на кухне.</t>
  </si>
  <si>
    <t>15.03.  кв.76. Замена крана в кв.76</t>
  </si>
  <si>
    <t>18.03. Акт 653 кв.108.. В туалете по трубе сверху бежит вода. Обследовано в квартире 111 подтекает труба водонагревателя, устранено собственниками</t>
  </si>
  <si>
    <t>20.03. Осмотр квартиры 108 - течи нет</t>
  </si>
  <si>
    <t>18.03. Акт 654 кв.19. Забит унитаз. Прочистка центрального стояка</t>
  </si>
  <si>
    <t>18.03. Акт 655 кв.85. Засор унитаза. Прочищено</t>
  </si>
  <si>
    <t>20.03. Акт 667 кв.68. Вода из крана бежит липкая, вонючая. Обследовано, вода в норме</t>
  </si>
  <si>
    <t>23.03. Акт 695 кв.16. Засор канализации на кухне. Прочистка канализации в квартире</t>
  </si>
  <si>
    <t>31.03. Акт 762 кв.38. Подтекает вода из бачка унитаза. Устранено, регулировка арматуры бачка</t>
  </si>
  <si>
    <t>01.03. Акт 472 кв.53. Пробивает током эл.плита. Осмотрено, неисправности не обнаружено</t>
  </si>
  <si>
    <t>01.03. Акт 484 кв.82. Нет света в коридоре. Замена лампочек 6 шт</t>
  </si>
  <si>
    <t>04.03. Акт 505 : подъезд нет света. Замена лампочек</t>
  </si>
  <si>
    <t>06.03. Акт 525 кв.25 Нет света в подъезде. Замена лампочек 4 шт</t>
  </si>
  <si>
    <t>07.03. Акт 541 кв.9 Нет света в подъезде. Замена лампочек 3 шт</t>
  </si>
  <si>
    <t>11.03. Акт 569 кв.48. Нет света в подъезде, замена лампочек 2 шт</t>
  </si>
  <si>
    <t>11.03. Акт 584 кв.71. Нет света в подъезде. Замена лампочек 6 шт</t>
  </si>
  <si>
    <t>13.03. Акт 595 кв.9. Нет света вподъезде. Замена лампочек 4 шт</t>
  </si>
  <si>
    <t>23.04. Акт 975 2 подъезд. Срезать торчащуюю часть ограждения. Часть ограждения срезана</t>
  </si>
  <si>
    <t>07.04. Акт 902 кв.120. Холодно в квартире. Стояк перепущен</t>
  </si>
  <si>
    <t>17.04. Акт 927 кв.71. Затапливает квартиру сверху. Устранено, осмотрено в кв.74 был открыт кран гусочковый на батарее отопления, кран перекрыл</t>
  </si>
  <si>
    <t>25.04. Акт 999 кв.46. Отключить отопление 2 стояка. Осмотрено, нет возможности отключить стояк, нужно остановить весь дом</t>
  </si>
  <si>
    <t>01.04. Акт 773 3 подвал. Замена общедомовой канализации. Произведена замена общедомовой канализации</t>
  </si>
  <si>
    <t>04.04. Акт 800. Плановый осмотр подвалов. Осмотрено в подвалах сухо</t>
  </si>
  <si>
    <t>15.04. Акт 899 кв.61. Сгнил стояк холодной воды. Произведены работы по замене стояка 4 м д 32</t>
  </si>
  <si>
    <t>20.04. Акт 951 кв.33. Порыв сливной трубы. Расчищено</t>
  </si>
  <si>
    <t>22.04. Акт 957 кв.96 Течет стояк холодной воды. Осмотрено, нужна замена стояка хвс в туалете</t>
  </si>
  <si>
    <t>25.04. Акт 995 Плановый осмотр подвалов. Нарушений подвальных коммуникаций не обнаружено</t>
  </si>
  <si>
    <t>25.04. Акт 995 Плановый осмотр подвалов. Нарушений подвальных коммуникаций не обнаружено. Стоит центральная канализация</t>
  </si>
  <si>
    <t>25.04. Акт 1000 кв.13. В сливной бачок не поступает вода. Ходил два раза , нет дома</t>
  </si>
  <si>
    <t>27.04. Акт 1016 кв.41 Нет холодной воды во всей квартире, осмотрено, необходимо заменить смеситель.</t>
  </si>
  <si>
    <t>29.04. Акт 1025 кв.14 В сливной бачок не поступает вода. Устранено, почистил бочковой клапан</t>
  </si>
  <si>
    <t>02.04. Акт 783 . Плановый осмотр подвалов, осмотрено, забита канализация, устранено</t>
  </si>
  <si>
    <t>02.04. Акт 787 кв.71. Нет света в подъезде, замена лампочек 4 шт</t>
  </si>
  <si>
    <t>03.04. Акт 792  3 подвал. В подвале мигает лампочка. Нет колюча от подвала</t>
  </si>
  <si>
    <t>10.04. Акт 861 кв.88. Нет света в подъезде. Замена лампочек 4 шт</t>
  </si>
  <si>
    <t>10.04. Акт 869 7 подъезд. Нет света в подъезде, замена лампочек 4 шт</t>
  </si>
  <si>
    <t>12.04. Акт 880 кв.85 Нет света 6 подъезд. Замена лампочек 3 шт</t>
  </si>
  <si>
    <t>17.04. Акт 923 кв.17 Нет света в подъезде. Замена лампочек 2 шт</t>
  </si>
  <si>
    <t>18.04. Акт 939 3 подъезд. Нет света. Осмотрен патрон, замена лампочек 5 шт</t>
  </si>
  <si>
    <t>21.04. Акт 955 кв.82. Нет света в 6 подъезде. Замена лампочек 3 шт</t>
  </si>
  <si>
    <t>29.05. Акт 1209 . Открыть подвальные окна. Окна открыли</t>
  </si>
  <si>
    <t>27.05. Акт 1230. Закрыть вводные задвижки. Закрыто</t>
  </si>
  <si>
    <t>05.05. Акт 1049 кв.97. Топят соседи сверху. Осмотрено, причины не обнаружены, видимо просто прлив, на стояке в туалете конденсат</t>
  </si>
  <si>
    <t>06.05. Акт 1055. Плановый осмотр подвалов. Нарушений работы подвальных коммуникаций не обнаружено</t>
  </si>
  <si>
    <t>08.05. Акт 1087 Плановый осмотр инженерных сетей. Осмотрено, замечаний нет</t>
  </si>
  <si>
    <t>13.05. Акт 1129 кв.96 Течь втояка хвс. Осмотрено, необходимо произвести работы в квартире 93 по соединению труб.</t>
  </si>
  <si>
    <t>13.05. Акт 1138 кв.25. Поставить водосчетчик, осмотрено, от замены труб и установки водосчетчика отказались</t>
  </si>
  <si>
    <t>14.05. Акт 1139 кв.69 На кухне подтекает под раковиной. Засор в кухне, прочищено тросом по стояку допервого этажа</t>
  </si>
  <si>
    <t>16.05. Замена стояка холодной воды  в квартре 96</t>
  </si>
  <si>
    <t>17.05. Акт 1151 кв.69. На раковине поменять манжету. Установка манжкты на кухне</t>
  </si>
  <si>
    <t>22.05. Акт 1198 кв.5. Не поступает вода в сливной бачок, неисправен кран на кухне. Осмотрено, нужна замена крана.  Кран заменен</t>
  </si>
  <si>
    <t>26.05. Акт 1218 кв.5. Не поступает вода в бачок унитаза. Прочищен кран на вводе</t>
  </si>
  <si>
    <t>05.05. Акт 1050 кв.48. Нет света в подъезде. Замена лампочек 3 шт</t>
  </si>
  <si>
    <t>07.05. Акт 1066 кв. 24. Нет света в ванной, туалете, кухня, отключено ночью. Осмотрено, напряжение со щита в квартиру поступает</t>
  </si>
  <si>
    <t>07.05. Акт 1076 кв.98. Нет света в квартире. Осмотрено, выбило автомат 40А., автомат включен</t>
  </si>
  <si>
    <t>15.05. Акт 1144 кв.71. Нет света  в подъезде. Замена лампочек 5 шт, ремонт выключателя.</t>
  </si>
  <si>
    <t>20.05.Акт 1171 кв.16. Нет света в спальне, коридоре. Замена автомата 25А</t>
  </si>
  <si>
    <t>23.05. Акт 1202 кв.76. Не работает розетка. Осмотрено, требуется замена розетки и подрозетника</t>
  </si>
  <si>
    <t>31.05. акт 1255 7 подвал. Сделать свет в подвале. Осмотрено, необходимо проложить новую проводку, нет материалов</t>
  </si>
  <si>
    <t>01.06. акт 1257 кв 107,110. Шум воды в батареях, конденсат на трубах. Поставил заглушку в подвале</t>
  </si>
  <si>
    <t xml:space="preserve">03.06.Акт 1268 кв.110. Топят соседи сверху., обследовано кв 113,116,119, во всех убраны врезки из системы теплоснабжения, работы проводились 4,5 июня </t>
  </si>
  <si>
    <t>05.06. Акт 1278 кв.12. Заменить смеситель в ванной, Осмотрено от заявки отказались</t>
  </si>
  <si>
    <t>05.06. Акт 1280 кв.25. Течь канализационной трубы в туалете. Обследовано, требуется замена стояка.</t>
  </si>
  <si>
    <t>13.06. замена стояка канализации в кв.25.</t>
  </si>
  <si>
    <t>09.06. Акт 1307 кв.24. Топят соседи сверху (27кв). Осмотрено, подтеки в ванной, на кухне, в туалете.</t>
  </si>
  <si>
    <t>11.06. Акт 1309 кв.24. Составить акт о потопе. Акт составлен</t>
  </si>
  <si>
    <t>13.06.Акт 1330 кв.51. Прорвало стояк в квартире, осмотрено, перекрыта вода.в подвале, требуется замена стояка хвс.</t>
  </si>
  <si>
    <t>13.06. Акт 1338 кв.27. Плохой напор воды в квартире. Отказ от заявки</t>
  </si>
  <si>
    <t>20.06. Акт 1378 кв.25 Перекрыть воду в квартире. Устранено, замена крана на стояке хвс</t>
  </si>
  <si>
    <t>24.06. Акт 1390 кв.22. Забита канализация. Устранено, прочищена канализация 1,5м</t>
  </si>
  <si>
    <t>24.06.Акт 1394 кв.25 Лопнул фильтр грубой очисткт Осмотрено , от заявки отказались</t>
  </si>
  <si>
    <t>03.06. Акт 1261 кв.37. В щитке неисправность, переключение провода на автомат</t>
  </si>
  <si>
    <t>05.06. Акт 1281 кв.76. Закрыть эл.щит на площадке. Установка навесов для замка, повешан замрок контролька</t>
  </si>
  <si>
    <t>19.06.Акт 1373 кв.71 Нет света в подъезде. Замена лампочек 5 шт</t>
  </si>
  <si>
    <t>26.06. Акт 1413 6 подъезд. Нет света в подъезде. Замена лампочек 5 шт</t>
  </si>
  <si>
    <t>17.07. Акт 1529 кв.75. Течет крыша на кухне. Осмотрено, причина протекания - демонтирована труба кухонного стояка канализации, отверстие запенено, укрыто бикростом</t>
  </si>
  <si>
    <t>12.07. Акт 1551 кв.119. Затирка трещин на панели. Проведены работы по затирке наружней панели</t>
  </si>
  <si>
    <t>03.07. Акт 1466 кв.119. Заменить приборы отопления на кухне и в комнате. Работы выполнены</t>
  </si>
  <si>
    <t>18.07. Акт 1536 кв.119. Закрепить батарею. Радиатор установлен на стандартный кронштейн</t>
  </si>
  <si>
    <t>02.07.Акт 1438 кв.8. Устанвить унитаз, унитаз устанорвлен, приварена резьба</t>
  </si>
  <si>
    <t>04.07.Акт 1460  Плановый осмотр подвалов, осмотрено, засор центральной канализации.</t>
  </si>
  <si>
    <t>11.07. Акт 1494 кв.24. Не поступает вода в сливной бачок, устранено, был забит вентиль на стояке</t>
  </si>
  <si>
    <t>25.07. Акт 1565 кв.75. Перекрыть в подвале холодную воду. Перекрыл воду и открыл</t>
  </si>
  <si>
    <t>25.07.Акт 1566 кв.51. Подтапливает стояк в ванной. Осмотрено, лопнул кран , замена крана на стоке д 15.</t>
  </si>
  <si>
    <t>30.07. Акт 1595 кв.22. Засор канализации. Устранено, был забит центральный стояк канализации</t>
  </si>
  <si>
    <t>31.07. Акт 1604 кв.116. Заменить кран для перекрытия воды. Произведена замена крана и гибкой подводки на стояке в туалете</t>
  </si>
  <si>
    <t>12.07. Акт 1496 7 подъезд. Нет света. Замена 3 х лампочек</t>
  </si>
  <si>
    <t>27.08. Акт 1765  кв.43. Протекает крыша, где вытяжка в подъезд и в туалете. Обследовано, необходимо выполнение бетонных работ, герметизации.</t>
  </si>
  <si>
    <t>30.08. Выполнены работы по герметизации крыши</t>
  </si>
  <si>
    <t>13.08. Акт 1677 кв.2. Установить водонагреватель, стиральную машину, 2 фильтра. Работы выполнены</t>
  </si>
  <si>
    <t>19.08. Акт 1681 кв.107 На кухне подтекает кран, осмотрено долго стекает вода с гусака</t>
  </si>
  <si>
    <t>14.08. Акт 1682 кв.2. Течь воды под раковиной на кухне. Устранено, заменена гибкая подводка</t>
  </si>
  <si>
    <t>23.08. Акт 1711 кв.69 , не поступает вода в сливной бачок, устранено</t>
  </si>
  <si>
    <t>28.08. Акт 1750 кв.53 Плохой напор воды . Устранено, произведено чистка вводных крано</t>
  </si>
  <si>
    <t xml:space="preserve">30.08. Акт 1753 кв 108-114. Поменять стояк хвс. Замена стояка хвс из кв.108 до 114 д 32. </t>
  </si>
  <si>
    <t>30.08. Акт 1820 кв.51. Не поступает вода в бочок унитаза., нет дома никовго</t>
  </si>
  <si>
    <t>03.08. Акт 1627 кв.82. Нет света в подъезде. Замена лампочек 5 шт</t>
  </si>
  <si>
    <t>05.08. Акт 1639 кв.71. Нет света в подъезде. Замена лампочек 6 шт</t>
  </si>
  <si>
    <t>07.08. Акт 1646 кв.46. Не работает автомат на печь. Замена автомата 25А. Замена лампочек 6 шт</t>
  </si>
  <si>
    <t>12.08. Акт 1669 кв.1. Нет света  на 1 этаже. Замена лампочки</t>
  </si>
  <si>
    <t>16.08. Акт 1698 кв.105. Нет света в подъезде. Замена 4 лампочек</t>
  </si>
  <si>
    <t>22.08. Акт 1720 кв 108 Нет света в подъезде. Замена лампочек 3 шт</t>
  </si>
  <si>
    <t>28.08. Акт 1736 6 подъезд нет света. Замена лампочек 3 шт</t>
  </si>
  <si>
    <t>28.08. Акт 1740 кв.71 нет света в подъезде. Замена лампочек 4 шт</t>
  </si>
  <si>
    <t>02.09. Акт 1773/1 4 подъезд, сделать крыльцо. Уложен бетонный блок у входа в подъезд</t>
  </si>
  <si>
    <t>17.09. Акт 1909 кв.71 Закрыть окно в подъезде. Окна закрыты</t>
  </si>
  <si>
    <t>17.09. Акт 1947 кв.48. Закрыть окна в подвал. Окна подвалов с фасада закрыты</t>
  </si>
  <si>
    <t>12.09. Акт 1867. Плановые сварочные работы по замене  участка отопления в подвале 4.</t>
  </si>
  <si>
    <t>12.09. Акт 1868. Планоые, заполнение водой системы отопления</t>
  </si>
  <si>
    <t>23.09. Акт 2000 холодные батареи7,8 подъезды, перепуск стояков</t>
  </si>
  <si>
    <t>23.09. Акт 2001  1,3 подъезд холодные батареи, перпуск стояков</t>
  </si>
  <si>
    <t>26.09. Акт 2019 кв.13. Холодные батареи кв.13. Осмотрено, был закрыт стояк в зале, стояк открыт</t>
  </si>
  <si>
    <t xml:space="preserve">30.09. Акт 2059 кв.68. Холодный стояк на кухне. Осмотрено, отопление восстановлено с 01.10. </t>
  </si>
  <si>
    <t>02.09. Акт 1773 кв.44. Не поступает вода на кухне. Устранено, прочищен кран на ввод в квартиру</t>
  </si>
  <si>
    <t>05.09. Акт 1816 кв.66. Течь воды из сливного бака. Осмотрено, нужна замена арматуры бачка</t>
  </si>
  <si>
    <t>22.09. Акт 1941 4 подвал. Засор канализации, прочищено тросом по лежаку</t>
  </si>
  <si>
    <t>24.09. Акт 1966 кв.19. Нет воды на кухне. Произведена замена вводного крана</t>
  </si>
  <si>
    <t>03.09. Акт 1778 кв.39. Нет света на крыльце и в подъезде, замена лампочек 4 шт</t>
  </si>
  <si>
    <t>04.09. Акт 1814 кв 77 в квартире нет элэнергии. Осмотрено, выбило автомат на квартиру, включение автомата</t>
  </si>
  <si>
    <t>09.09. Акт 1842 кв.82. Нет света при входе в подъезд, замена лампочек 4 шт</t>
  </si>
  <si>
    <t>11.09. Акт 1863 кв.71. Нет света 5 подъезд. Замена лампочек 5 шт</t>
  </si>
  <si>
    <t>13.09. Акт 1873 кв.1. Нет света  в подъезде. Замена лампочек 3 шт</t>
  </si>
  <si>
    <t>24.09. Акт 1981 кв.48. Нет света на крыльце. Замена лампочек 3 шт</t>
  </si>
  <si>
    <t>29.09. Акт 2028 кв 91,92. Нет света в квартире. Осмотрено выключен автомат</t>
  </si>
  <si>
    <t>03.10. акт 2070/1. 2 подвал. Обработка техподвала дезинфицирующем средством</t>
  </si>
  <si>
    <t>11.10.Акт 2156 8 подъезд. Изготовлен и установлен поручень на входе</t>
  </si>
  <si>
    <t>09.10. Акт 2144 кв.68. Холодные батареи на кухне. Осмотрено, где-то в квартире перекрыт кран на стояке, стояк запущен 10.10.</t>
  </si>
  <si>
    <t>03.10.Акт 2068 кв.101. Устаеновка водонагревателя, осмотрено, нужно купить анкера, имеющий ся не подкходит</t>
  </si>
  <si>
    <t>03.10. акт 2081 кв.63. Топят соседи сверху. Осмотр, засор кухонной канализации. Прочистка кухонного стояка из подвалпа до 3 этажа</t>
  </si>
  <si>
    <t xml:space="preserve"> 09.10. Акт 2145 кв 2. Подтекает смеситель в ванной. Устранено замена прокладки под смесителем в ванной комнате.</t>
  </si>
  <si>
    <t xml:space="preserve">10.10. Акт 2154 кв 66. Замена унитаза. Унитаз заменен </t>
  </si>
  <si>
    <t>11.10. Акт 2158 Плановый осмотр подвалов. Осмотрено, нарушений работы инженерных коммуникаций не обнаружено</t>
  </si>
  <si>
    <t>17.10. Акт 2203 кв.51 Не работает смывной бачок. Осмотрено, требуется замена арматуры, выполнено</t>
  </si>
  <si>
    <t>17.10. Акт 2212 кв.107 Поднимается вода в унитазе. , прочищено тросом по лежаку в подвале</t>
  </si>
  <si>
    <t>18.10. Акт 2213 кв.51. Поменять бачок унитаза, бачок заменен</t>
  </si>
  <si>
    <t>24.10. Акт 2261 кв.19. На кухню не поступает вода. Засор канализации по стояку, прочищено</t>
  </si>
  <si>
    <t>25.10. Акт 2264 4 подвал. Засор канализации в 4 подвале. Осмотрено, не работает центральная система канализации</t>
  </si>
  <si>
    <t>27.10. Акт 2271 кв.19. 2 подвал. Течь вода в подвале. Устранено, засор центральной канализации в подвале.</t>
  </si>
  <si>
    <t xml:space="preserve">28.10. Акт 2273 кв.41. Плохой напор воды., произведена замена крана на стояке. </t>
  </si>
  <si>
    <t>23.10. Акт 2274 кв.38. Заменить кран на стояке, произведена замена крана на стояке, прочистка гибкой подводки 28.10.</t>
  </si>
  <si>
    <t>29.10. Акт 2284 кв.57. Топит кв 60. Перекрыт стояк, открыт стояк, составлен акт обследования.</t>
  </si>
  <si>
    <t>30.10. Акт 2294 кв.16. На кухне в раковине не уходит вода. Прочищена троом канализация</t>
  </si>
  <si>
    <t>04.10. Акт 2092 кв.1. В щите искрит, где автоматы. Установка СЖИМ 1 шт, замена автомата 25А</t>
  </si>
  <si>
    <t>04.10. Акт 2093 кв.94. Нет света в квартире, устранено</t>
  </si>
  <si>
    <t>04.10. Акт 2094 кв 93,97 . Нет электричества в 7 подъезде., устранено</t>
  </si>
  <si>
    <t>05.10. Акт 2110 кв.39. Из розетки идет дым в коридоре., Устранено</t>
  </si>
  <si>
    <t>03.10. Акт 2115 кв.71 Нет света  в подъезде. Замена лампочек 3 шт</t>
  </si>
  <si>
    <t>13.10. Акт 2181 кв.76 На 1 этаже нет света, замена лампочек 4 шт</t>
  </si>
  <si>
    <t>15.10. Акт 2205 кв.9. Нет света на 3 этаже. Замена лампочек 3 шт</t>
  </si>
  <si>
    <t>15.10. Акт 2206 кв.17. Нет света на 1 этаже. Замена лампочек 2 шт</t>
  </si>
  <si>
    <t>17.10. Акт 2232 кв.85. Нет света на 4 этаже. Замена лампочек 2 шт</t>
  </si>
  <si>
    <t>20.10. Акт 2233 , кв 108. Нет света  в 8 подъезде. Замена лампочек 4 шт</t>
  </si>
  <si>
    <t>28.10. Акт 2278 кв.94. Нет света на крыльце и в поджъезде 7 подъезд, замена лампочек, замена патрона в светильнике</t>
  </si>
  <si>
    <t>30.10. Акт 71  нет света в 5 подъезде . Замена лампочек 4 шт</t>
  </si>
  <si>
    <t>12.11.Акт 2509 кв.75,73. Течь воды с крыши в подъезде, где люк, венткороба. Протечек с кровли не обнаружено, подтеки в подъезде сухие, старые</t>
  </si>
  <si>
    <t>26.11. Акт 2640 кв.108, заделать дырку в стене со стороны д/с, ответстие заложено кирпичом и запенено</t>
  </si>
  <si>
    <t>12.11. Акт 2510 кв.75. Холодная батарея отопления в зале, осмотрено, теплоснабжение по стоякам в рабочем состоянии</t>
  </si>
  <si>
    <t>16.11. Акт2570 кв.90, холодные батареи, перепуск в подвале по всем стоякам</t>
  </si>
  <si>
    <t>03.11. Акт 2321 Плановый осмотр подвалов, нарушений работы подвальных коммуникаций не обнаружено</t>
  </si>
  <si>
    <t>05.11. Акт 2328 кв.11. Не поступает вода в унитаз. Забит кран на стояке, прочитска крана на центральном стояке</t>
  </si>
  <si>
    <t>07.11. Акт 2457 кв.71 . В ванной вода не уходит, Осмотрено, лопнула заглушка, произведена замена заглушки</t>
  </si>
  <si>
    <t>07.11. Акт 2478 кв.14. Не поступает вода в сливной бачок, устранено, прочищен крана на стояке</t>
  </si>
  <si>
    <t>08.11. Акт 2465, подвалы. Плановый осмотр подвалов, осмотрено, замечаний нет</t>
  </si>
  <si>
    <t>15.11. Акт 2555. Плановый осмотр системы канализации, осмотрено, замечаний нет</t>
  </si>
  <si>
    <t>15.11. Акт 2552 кв.21. Установить смеситель на кухню, произведена полная замена смесителя на кухне.</t>
  </si>
  <si>
    <t>19.11. Акт 2584. Плановый осмотр подвала. Осмотрено, замечангий нет</t>
  </si>
  <si>
    <t>21.11. Акт 2605 кв.93. Расчеканить на кухне слив (заменить тройник), демонтаж чугунного уголка из тройника кухонноной канализации</t>
  </si>
  <si>
    <t>25.11. Акт 2634 Плановый осмотр подвалов, осмотрено, замечаний нет</t>
  </si>
  <si>
    <t>27.11. Акт 2671 Плановый обход подвалов. Осмотрено, протечек не обнаружено</t>
  </si>
  <si>
    <t>01.11. Акт 2316, 8 подъезд 4 этаж, замена лампочки</t>
  </si>
  <si>
    <t>05.11. Акт 2553 7 подъезд. Заменить патрон в сетильники на крыльце 7 подъезда, замена подвесного патрона 1 шт, замена лампочки 1 шт</t>
  </si>
  <si>
    <t>07.11. Акт 2474 кв.71 Нет света 5 подъезд, замена лампочек</t>
  </si>
  <si>
    <t>08.11. Акт 2476 кв.47. Нет света в подъезде. Замена 4 лампочек</t>
  </si>
  <si>
    <t>15.11. Акт 2574 кв.46. Выбило свет в квартире , осмотрено, неправильное подключение</t>
  </si>
  <si>
    <t>20.11. Акт 2644 кв.4. Нет света при входе в подъезд, закрепить провод. Замена лампочки, требуется установить кабель-канал 3 м.</t>
  </si>
  <si>
    <t>21.11. Акт 2624 7 подъезд. Нет света в подъездах. Замена лампочек по всему дому 11 шт</t>
  </si>
  <si>
    <t>22.11. Акт 2638 кв.31 Не работает эл.плита, выбило автомат</t>
  </si>
  <si>
    <t>24.11. Акт 2621 кв.108. Нет света в квартире. Замена пакетника (вводного автомата)</t>
  </si>
  <si>
    <t>25.11. Акт 2633 кв.108. Мограет свет в зале. Осмотрел, все контакты в исправном состоянии</t>
  </si>
  <si>
    <t xml:space="preserve">25.11. Акт 2722 кв.38. Нет света в 3 подъезде. Замена лампочек </t>
  </si>
  <si>
    <t>03.12. Акт 2748 Плановые: изготовление и установка на фасаде двух предупреждающих табличек</t>
  </si>
  <si>
    <t>20.12. Акт 9878 кв.120. Закрыть люк на крышу. Осмотрено, необходимо приварить петлю или длиннее цепь, устранено</t>
  </si>
  <si>
    <t>23.12. Акт 2891 кв.71, не закрывается тамбурная дверь в 5 подъезде., отремонтиорована</t>
  </si>
  <si>
    <t>20.12. Акт 2917 кв.76 , холодные батареи в зале. Перепуск стояков</t>
  </si>
  <si>
    <t>25.12. Акт 2890 кв.90. Холодные батареи в комнате. Установлены краны для сброса воздуха из отопительной системы</t>
  </si>
  <si>
    <t>03.12. Акт 2756 кв.119. Плохо поступает вода в квартиру, устранено, прочищен фильтр</t>
  </si>
  <si>
    <t>04.12. Акт 2768 кв.119. Поменять катридж в фильтре, замена катриджа</t>
  </si>
  <si>
    <t>04.12. кв.43. Плохо поступает вода в квартиру.Осмотрено, требуется замена крана на стояке</t>
  </si>
  <si>
    <t>05.12. кв 43. Произведена замена крана на стояке</t>
  </si>
  <si>
    <t>06.12. Акт 2777 Плановый осмотр подвалов. Осмотрено, протечек нет</t>
  </si>
  <si>
    <t>11.12. Акт 2820, плановый осмотр подвалов, осмотрено, протечек нет</t>
  </si>
  <si>
    <t>12.12. Акт 2830 кв.51 Установить водосчетчик. Счетчик установлен</t>
  </si>
  <si>
    <t>16.12. Акт 2877 кв.76, не держит кран на системе отопления, отломился гусачковый кран, поставили кран маевского</t>
  </si>
  <si>
    <t>17.12. Акт 2893 кв.120 Из трубы, где крепится унитаз, бежит вода, осмотрено, нужна замена арматуры в бачке</t>
  </si>
  <si>
    <t>20.12. Акт 2921. Плановый осмотр подвалов, осмотрено, замечаний нет</t>
  </si>
  <si>
    <t>21.12. Акт 2933 кв.25 Течет кран под счетчиком, устранено</t>
  </si>
  <si>
    <t>22.12. Акт 2935 кв.42. Течь гибкой подводки на унитазе, устранено</t>
  </si>
  <si>
    <t>22.12. Акт 2976 кв.42, засор отвода на кухне, заменен кран на стояке</t>
  </si>
  <si>
    <t>23.12. Акт 2945 Плановый осмотр подвалов, осмотрено, течи нет</t>
  </si>
  <si>
    <t>27.12. Акт 2910 Плановый осмотр подвалов, осмотрено</t>
  </si>
  <si>
    <t>30.12. Акт 2925 Плановый осмотр подвалов, осмотрено замечаний нет</t>
  </si>
  <si>
    <t>02.12. Акт 2759 нет света на 1 этаже, замена лампочек 4 шт</t>
  </si>
  <si>
    <t>02.12. Акт 2739 Снятие показаний водосчетчиков</t>
  </si>
  <si>
    <t>03.12. Акт 2741 кв.108 Нет э/э в квартире, осмотрено сгроела вставка в щитовой, замена вставки 63А 1 шт</t>
  </si>
  <si>
    <t>04.12. Акт 2771 кв 116. Нет света в 8 подъезде. Замена лампочек</t>
  </si>
  <si>
    <t>05.12. Акт 2766 8 подъезд, нет света 8 подъезд. Ремонт патронов, замена лампочек 5 шт</t>
  </si>
  <si>
    <t>10.12. Акт 2805 кв 39 нет света , замена лампочек 3 шт</t>
  </si>
  <si>
    <t>11.12. Акт 2833 кв.1. Нет света в подъезде, замена лампочки</t>
  </si>
  <si>
    <t>16.12. Акт 2888 кв.71. Нет света, замена лампочек 3 шт</t>
  </si>
  <si>
    <t>19.12. Акт 2911 кв.36. Заменить розетку, замена розетки</t>
  </si>
  <si>
    <t>20.12. Акт 2928 кв.85 нет света 6 подъезд, замена лампочек 1 шт</t>
  </si>
  <si>
    <t>20.12. Акт 48 нет света на крыльце в 4 подъезде, замена лампочек 2 шт</t>
  </si>
  <si>
    <t>27.12. Акт 2943 Нет света в подъезде, замена лампочек 3 шт</t>
  </si>
  <si>
    <t>27.12. Акт 2944 кв.76, нет света в подъезде, замена лампочек</t>
  </si>
  <si>
    <t xml:space="preserve"> по улице  Пушкина за 2013 год</t>
  </si>
  <si>
    <t>30.01. Акт 218 1 подъезд, прочистить вентиляцию, устранено прочистили вентиляцию на крыше</t>
  </si>
  <si>
    <t xml:space="preserve">11.01. Акт 62а, на лестнице подтекает с батареи. Осмотрено, протечки не обнаружено, батарея сухая </t>
  </si>
  <si>
    <t>01.01. Акт 2 подвал. Засор канализации в подвале. Осмотрено, в 1 подъезде нужна замена лежака кухонного стояка</t>
  </si>
  <si>
    <t xml:space="preserve">11.01. Акт 62, на лестнице подтекает с батареи. Осмотрено, протечки не обнаружено, батарея сухая </t>
  </si>
  <si>
    <t>28.01. Акт 149 2 подвал. Засор канализации. Прочищено тросом до колодца, установлена заглушка на тройник</t>
  </si>
  <si>
    <t>28.01. Акт 202 кв.28. Течь крана на стояке, осмотрено, нужна замена крана</t>
  </si>
  <si>
    <t>30.01. Акт 226 кв.35. Заменить поплавок в бачке унитаза. Упал поплавок, исравлено</t>
  </si>
  <si>
    <t>04.01. Акт 12, кв.11. Нет света в подъезде. Замена лампочек 3 шт</t>
  </si>
  <si>
    <t>04.01. Акт 11, кв.16. Нет света в подъезде. Замена лампочек 2 шт</t>
  </si>
  <si>
    <t>21.01. Акт 144 3 подъезд. Нет света в подъезде. Замена лампочек 2 шт</t>
  </si>
  <si>
    <t>12.02. Акт 305 кв.46 Замена стояка хвс</t>
  </si>
  <si>
    <t>13.02. Акт 320 кв.45. Отключить стояк с холодной водой. Перекрыл стояк хвс на кухне и запустил</t>
  </si>
  <si>
    <t>15.02. Акт 338 кв.42. Не поступает вода в унитаз, прочищен клапан</t>
  </si>
  <si>
    <t>25.02. Акт 419 кв.32. Замена стояка  холодной воды</t>
  </si>
  <si>
    <t>12.02. Акт 306 2 подъезд. Замена лампочек 2 шт</t>
  </si>
  <si>
    <t>13.02. Акт 322 1 подъезд, замена лампочек 3 шт.</t>
  </si>
  <si>
    <t>24.02. Акт 416 кв.18. Нет света в подъезде. Замена лампочек 3 шт, ремонт патрона</t>
  </si>
  <si>
    <t>28.02. Акт 458 нет света в подъезде. Замена лампочек 3 шт</t>
  </si>
  <si>
    <t xml:space="preserve">20.03. Акт 670 1 подвал, в подвале бежит вода отопления, произведена замена подмотки на соединеннии </t>
  </si>
  <si>
    <t>04.03. Акт 570, кв.30. В туалете в ванной нет света, осмотрено, при проведении ремонта перебили провод</t>
  </si>
  <si>
    <t>19.03. Акт 661 Пробить канализацию в подвале. Устранено, прочищена центральная канализация</t>
  </si>
  <si>
    <t>22.03. Акт 961 кв.11. Плохой напор воды, осмотрено, требуется замена труб хвс по квартире.</t>
  </si>
  <si>
    <t>28.03. Акт 730 кв.2. Подтекает стояк в санузле, отмена заявки</t>
  </si>
  <si>
    <t>28.03. Акт 732 кв.56. Прочистить канализацию, устранено</t>
  </si>
  <si>
    <t>29.03. Акт 757 кв.11. Нет воды, осмотрено, замена стояка и крана на стояке</t>
  </si>
  <si>
    <t>29.03. Акт 743 кв.2. Течь крана в ванной, произведена замена сальниковой подмотки на кране</t>
  </si>
  <si>
    <t>06.03. Акт 530 кв.19. Нет света  в подъезде, замена лампочек 3 шт</t>
  </si>
  <si>
    <t>06.03. Акт 537 кв.6. Нет света на 2 этаже. Замена лампочек 2 шт</t>
  </si>
  <si>
    <t>11.03. Акт 560.3 подъезд. Нет света. Замена лампочек 3 шт</t>
  </si>
  <si>
    <t>22.03. Акт 693 4 подъезд нет света, замена лампочек 4 шт</t>
  </si>
  <si>
    <t>02.04. Акт 784 Плановый осмотр подвалов, осмотрено, протечек не обнаружено</t>
  </si>
  <si>
    <t>04.04. Акт 813 Плановый осмотр подвалов, осмотрено, протечек не обнаружено</t>
  </si>
  <si>
    <t>09.04. Акт 847 Плановый осмотр подвалов, осмотрено, протечек не обнаружено</t>
  </si>
  <si>
    <t>11.04. Акт 888 кв.60. Замена канализационного стояка</t>
  </si>
  <si>
    <t>05.04. Акт 815 Нет света  3,4 подъезды. Замена лампочек 2 шт</t>
  </si>
  <si>
    <t>09.04. Акт 846 4 подъезд нет света, замена лампочек 2шт</t>
  </si>
  <si>
    <t>29.05. Акт 1245. Открыть подвальные окна, окна открыли</t>
  </si>
  <si>
    <t>27.05. Акт 1232. Закрыть вводные задвижки на дом</t>
  </si>
  <si>
    <t>06.05. Акт 1057 Плановый осмотр подвалов, нарушений работы инженерных коммуникаций не обнаружено</t>
  </si>
  <si>
    <t>06.05. Акт 1088 Плановый осмотр подвалов, нарушений работы инженерных коммуникаций не обнаружено</t>
  </si>
  <si>
    <t>21.05. Акт 1181 кв.16. Шумит сильно в подвале. Осмотрено, шама не обнаружено</t>
  </si>
  <si>
    <t>08.05. Акт 1104 кв.51. Нет света в 1 2х комнатных квартирах, осмотрено, при замене эл.счетчикап замкнули эл.провода и сгорела вставка. Замена вставки</t>
  </si>
  <si>
    <t>10.05. Акт 1016 кв.20. Нет э/э в квартире. Осмотрено, сгорела вставка в щитовой. Замена вставки</t>
  </si>
  <si>
    <t>10.05. Акт 1015 кв.27. Нет э/э в квартире. Осмотрено, сгорел пакетный выключатель. Замена автомата 40А</t>
  </si>
  <si>
    <t>11.05. Акт 1017 кв.6. Нет света в подъезде. Замена лампочек 4 шт</t>
  </si>
  <si>
    <t>11.06. Акт 1322 кв.60. Протекает крыша. Осмотрено, зпенено</t>
  </si>
  <si>
    <t>08.06. Акт 1306 кв.42. Засор канализации, устранено</t>
  </si>
  <si>
    <t>10.06. Акт 1315 кв.35. Засор раковины в ванной, устранено</t>
  </si>
  <si>
    <t>18.06. Акт 1364 кв.60. Заделать трубу в туалете, на кухне течет потолок. Устранено, запенили трубу на крыше.</t>
  </si>
  <si>
    <t>25.06. Акт 1398 кв.35. Течь воды из сливного бачка, устранено</t>
  </si>
  <si>
    <t>21.06. Акт 1379 кв.6. Нет света в тамбуре. Замена лампочек 1 шт</t>
  </si>
  <si>
    <t>08.07. Акт 1479 кв.43. Нет воды в квартире, осмотрено, требуется замена кранов на стояке. Произведена замена крана на стояке</t>
  </si>
  <si>
    <t>10.07. Акт 1493 1 подвал. Забита центральная канализация, прочищено</t>
  </si>
  <si>
    <t>16.07. Акт 1518 кв.57, в туалете и в ванной сверху течь по стенам,Провели  осмотр утечки  воды и канализации не обнаружено, возможно разлили воду</t>
  </si>
  <si>
    <t>30.07. Акт 1597 кв 6, в подвале из трубы канализации течет вода, обследовано "стоит "  внутриквартальная канализация, засор ликвидирован в 22 часа</t>
  </si>
  <si>
    <t>01.07. Акт 1431 кв.19. Не горит лампочка во 2 подъезде, устранено, замена лампочек 3 шт</t>
  </si>
  <si>
    <t>19.07. Акт 1572 кв.50. Не работает выключатель  и нет света. Проведена замена выключателя на 1 этаже, и двух ламп</t>
  </si>
  <si>
    <t>30.07. Акт 1596 кв.19. нет света во 2 подъезде, замена лампочек</t>
  </si>
  <si>
    <t>31.07. Акт 1598 кв.6, нет света в подъезде. Замена лампочек 2 шт, ремонт патрона</t>
  </si>
  <si>
    <t>23.05. Акт 1206 кв.53. Течет крыша с 5-го этажа. Осмотрено, закрыт люк, выходящий на крышу.</t>
  </si>
  <si>
    <t>24.05. Проведены работы по запениванию трещин и дыр в плитах покрытия</t>
  </si>
  <si>
    <t>27.05. Закончены работы по затирке цементным раствором дыр в плитах</t>
  </si>
  <si>
    <t>02.08 Акт 1622 кв.48. С 5-го этажа падают камни из под окна кв 60. Осмотрено, огорожено лентой</t>
  </si>
  <si>
    <t>17.08. Акт 1672 кв.31. Из тройника в туалете подтекает вода. Осмотрено, устранено: произведена замена тройника на металлопластик</t>
  </si>
  <si>
    <t>23.08. Акт 1709 кв.6. ! Подъезд в подвале из трубы сочится вода. Осмотрено, забит колодец</t>
  </si>
  <si>
    <t>23.08. Акт 1710 кв.35. Из бочка непрерывно течет вода. Устранено</t>
  </si>
  <si>
    <t>08.08.Акт 1654 кв.16. Нет света на 1 этаже. Осмотрено, отгорел провод от выключателя, устранено</t>
  </si>
  <si>
    <t>08.08. Акт 1655 кв.11 Нет света на кухне, осмотрено, замыкание лампочки, выбило автомат</t>
  </si>
  <si>
    <t>09.08. Акт 1656 кв.42. Нет света в подъезде. Замена лампочек 4 шт</t>
  </si>
  <si>
    <t>09.08. Акт 1661 4 подъезд. Горит постоянно лампочка, не выключается, устранено, замена кабеля АВВГ 2*2,5 3 м</t>
  </si>
  <si>
    <t>12.08. Акт 1670 кв.6. Нет света в тамбуре. Замена лампочек 2 шт</t>
  </si>
  <si>
    <t>14.08. Акт 1684 кв.4. Выбивает автомат. Замена автомата 25А</t>
  </si>
  <si>
    <t>27.08. Акт 1732 кв.31. При установке счетчика замкнуло фазу с нулем, нет э/э в квартире. Осмотрено, выбило вставки в эл.щитовой. Замена вставок 3 шт</t>
  </si>
  <si>
    <t>23.09. Акт 1944 . Закрыть окна в подвале. Окна в подвалах закрыты</t>
  </si>
  <si>
    <t>24.09. Акт 2008 кв 41,42,39. Нет тепла в квартирах. Перепущены стояки</t>
  </si>
  <si>
    <t>02.09. Акт 1802 кв.35. Не идет вода со смесителя в ванной. Устранено, была забита кранбуса на смесителе в ванной комнате</t>
  </si>
  <si>
    <t>04.09. Акт 1812 кв.17. В ванной и туалете стоит вода. Пробивка тросом стояка канализации из подвала</t>
  </si>
  <si>
    <t>05.09. Акт 1815 кв.17. Засор канализации в квартире. Пробивка тросом канализационного стояка в однокомнатной квартире, посторонние предметы - строительный мусор</t>
  </si>
  <si>
    <t>11.09. Акт 1858 кв.47. Произведена замена крана на стояке</t>
  </si>
  <si>
    <t>22.09. Акт 1942 1 подвал. Засор канализации, прочищено тросом из колодца до подвала</t>
  </si>
  <si>
    <t>23.09. Акт 194чищено тросом до колодца</t>
  </si>
  <si>
    <t>12.09. Акт 1857 кв.57. В ванной лопнула лампочка . Нет дома</t>
  </si>
  <si>
    <t>13.09. Акт 1884 кв.57. В ванной лопнула лампочка, патрон на волоске. Устранено, цоколь выкрутил</t>
  </si>
  <si>
    <t>16.09. Акт 1925 кв.6. 1 подъезд нет света. Замена лампочек 3 шт</t>
  </si>
  <si>
    <t>19.09. Акт 1924 кв.42. Нет света на 4 этаже. Замена лампочек 2 шт</t>
  </si>
  <si>
    <t>19.09. Акт 1907 кв.16. Нет света на 1 этаже. Замена лампочек 4 шт</t>
  </si>
  <si>
    <t>23.09. Акт 1980 последний подъезд нет света. Замена лампочек 4 шт</t>
  </si>
  <si>
    <t>28.10. Акт 2280 2 подъезд. Разбито окно в подъезде. Произведено остекление окон в подъезде</t>
  </si>
  <si>
    <t>11.10. Акт 2165. Плановый осмотр подвалов. Осмотрено, нарушений работы подвальных коммуникаций не обнаружено</t>
  </si>
  <si>
    <t>18.10.  Топят сверху кв51. Осмотрено затопила кв.54, составлен акт, закрыт стояк хвс, открыт стояк</t>
  </si>
  <si>
    <t>07.10. Акт 2121 кв.58. Нет света в квартире. Осмотрено, выбило автомат в эл.щите, включение автомата</t>
  </si>
  <si>
    <t>13.10. Акт 2180 кв.49. Нет света в подъезде. Замена лампочек 2шт</t>
  </si>
  <si>
    <t>18.10. Акт 2219 кв.49. Нет света в подъезде. Ремонт патрона, замена лампочек 2 шт</t>
  </si>
  <si>
    <t>18.10. Акт 2221 кв.56. Нет света в квартире. Осмотрено, выключены автоматы</t>
  </si>
  <si>
    <t>21.10. Акт 2234 кв.42. Нет света в подъезде. Замена лампочек 2 шт</t>
  </si>
  <si>
    <t>21.10. Акт 2248 кв.19. Нет света в подъезде. Замена лампочек</t>
  </si>
  <si>
    <t>22.10. Акт 2248 кв.19. Нет света в подъезде. Замена лампочек 3 шт</t>
  </si>
  <si>
    <t>28.10. Акт 2492 кв.11. Слабое напряжение в квартире. Осмотрено, сгорел пакетный выключатель. Устранено</t>
  </si>
  <si>
    <t>08.11. Акт 2458  Плановый осмотр подвалов, осмотрено, замечаний нет</t>
  </si>
  <si>
    <t>12.11. Акт 2502  Плановый осмотр подвалов, осмотрено, замечаний нет</t>
  </si>
  <si>
    <t>11.11. Акт 2495 кв.40. На центральном стояке сломан тройник. Обследовано, при демонтаже унитаза сломали тройник, необходимо заменить часть стояка</t>
  </si>
  <si>
    <t>27.11. Акт 2672. Обход подвальных коммуникаций, осмотрено, протечек не обнаружено</t>
  </si>
  <si>
    <t>27.11. Акт 2678 кв.48. С трубы на счетчик вырвало гибкую подводку. Устранено</t>
  </si>
  <si>
    <t>11.11. Акт 2484 кв.19. Нет света в подъезде. Замена лампочек 2 шт</t>
  </si>
  <si>
    <t>19.11. Акт 2544 кв.49. Нет света в подъезде. Замена лампочек 3 шт</t>
  </si>
  <si>
    <t>14.11. Акт 2549 кв.51. Не работает выключатель в 4 подъезде. Ремонт выключателя</t>
  </si>
  <si>
    <t>24.11. Акт 2666 кв.6. Нет света в тамбуре. Устранено, замена лампочек 3 шт</t>
  </si>
  <si>
    <t>03.12. Акт 2749 Изготовлены и установлены на фасаде дома две предупредительные таблички</t>
  </si>
  <si>
    <t>01.12. Акт 2707 2 подвал. Течь канализации в подвал. Устранено</t>
  </si>
  <si>
    <t>04.12. Акт 2755 2 подвал. Засор канализации. Прочищено тросом по лежаку до колодца</t>
  </si>
  <si>
    <t>06.12. Акт 2778 Плановый осмотр подвалов. Осмотрено, забита канализация, прочистка канализации</t>
  </si>
  <si>
    <t>10.12. Акт 2811 2 подвал. Течь канализации в подвал, устранено</t>
  </si>
  <si>
    <t>11.12. Акт 2822 Плановый осмотр подвалов, осмотрено, замечаний нет</t>
  </si>
  <si>
    <t>14.12. акт 2866 кв.16. Течь воды под раковиной на кухне. Устранено, подтянул гибкую подводку</t>
  </si>
  <si>
    <t>19.12. Акт2894 кв.44. Нет холодной воды в квартире. Устранено, переключили на другой стояк хвс, замена крана</t>
  </si>
  <si>
    <t>20.12. Акт 2922  Плановый осмотр подвалов, осмотрено, замечаний нет</t>
  </si>
  <si>
    <t>23.12. Акт 2453 кв.57. Засор мойки на кухне. Прочищено, было забито до центрального стояка</t>
  </si>
  <si>
    <t>23.12. Акт 2947 Плановый осмотр подвалов, осмотрено, течи нет</t>
  </si>
  <si>
    <t>27.12. Акт 2912 Плановый осмотр подвалов, осмотрено,</t>
  </si>
  <si>
    <t>30.12. Акт 2926 Плановый осмотр подвалов, осмотрено, замечаний нет</t>
  </si>
  <si>
    <t>6.12. Акт 2800 кв.16. Нет света в подъезде, замена лампочек 2шт</t>
  </si>
  <si>
    <t>11.12. Акт 2836 кв.6. Нет света в подъезде, замена лампочек 2 шт</t>
  </si>
  <si>
    <t>30.12. Акт 2937 кв.50, нет света при входе в подъезд, замена лампочек 2 шт</t>
  </si>
  <si>
    <t xml:space="preserve">Отчет ООО " МУК" по управлению и текущему содержанию МКД  № 2 а по адресу ул.Пушкина </t>
  </si>
  <si>
    <t xml:space="preserve">Отчет ООО " МУК" по управлению и текущему содержанию МКД  № 4 а по адресу ул.Пушкина </t>
  </si>
  <si>
    <t xml:space="preserve">Отчет ООО " МУК" по управлению и текущему содержанию МКД  № 5 а по адресу ул.Пушкина </t>
  </si>
  <si>
    <t>Начислено платежей за текущее содержание  и содержание общежитий</t>
  </si>
  <si>
    <t>ФОТ и налоги на з/плату дворников и уборщиков, вахтеров</t>
  </si>
  <si>
    <t xml:space="preserve">вахтеры </t>
  </si>
  <si>
    <t>23.12. Акт 2974 кв.42. Нет света в подъезде. Замена лампочек 3шт</t>
  </si>
  <si>
    <t>23.12. Акт 2965 кв.31. Нет света в 3 подъезде, замена 1 лампочки</t>
  </si>
  <si>
    <t>23.12. Акт 2973 8 подъезд. Закрыть эл.щит, заменить лампочки. Щит закрыл, замена 4 лампочек</t>
  </si>
  <si>
    <t>23.12. Акт2964,  2972 кв.48,51. Нет света в 4 подъезде, замена лампочек</t>
  </si>
  <si>
    <t xml:space="preserve"> по улице  Пушкина  за 2013 год</t>
  </si>
  <si>
    <t>15.01. Акт 1855 кв.43, акт 97 кв 28, С потолка капает вода на лестничную площадку. Обследовано, протекает венткороб, обследовано протекает венткороб, необходимо утеплить венткороба.</t>
  </si>
  <si>
    <t>16.01. Акт 100 кв.58. Течь воды с крыши на эл.щит, в спальне, по лампочкам, осмотрено, нужно утеплять , на щит вода попала из лаза, лаз закрыт</t>
  </si>
  <si>
    <t>16.01. Акт 103 кв.29., Течь воды с крыши на кухне и в туалете, нужно утеплять короб, выполнены работы по утеплению короба, составлен акт обследования</t>
  </si>
  <si>
    <t>24.01. Акт 161 кв.29. Течь воды с крыщи на кухне и в ванной, обследовано, протекает венткороб, венткороб утеплен</t>
  </si>
  <si>
    <t>26.01. Акт 187 кв.15. Бежит потолок в детской, натяжной потолок залит водой, обследовано, составили акт.</t>
  </si>
  <si>
    <t>11.01. Акт 53 кв.36. Из ванной капает вода, где то внизу, осмотрено, произведена замена крана на стояке хвс</t>
  </si>
  <si>
    <t>11.01. Акт 66 кв.6. в ванной течет кран, устранено</t>
  </si>
  <si>
    <t>13.01. Акт 70 кв.16. В подвале течет вода, прочищена общедомовая канализация</t>
  </si>
  <si>
    <t>15.01. Акт 82 кв.30 Прорвало кран на кухне, требуется замена смесителя на кухне.</t>
  </si>
  <si>
    <t>21.01. Выполнены работы по подключению водосчетчика</t>
  </si>
  <si>
    <t>21.01. Акт 139 кв.18. Заменить кран на стояке, замена крана</t>
  </si>
  <si>
    <t>29.01. Акт 213 осмотр подвалов, осмотрено, течи коммуникаций не обнаружено, лежак сети отопления и стояки в рабочем состоянии</t>
  </si>
  <si>
    <t>29.01. Акт 215 кв.21.  С потолка бежит в туалете, осмотрено в 24 кв. бежит из под бачка уннитаза, воду перекрыли</t>
  </si>
  <si>
    <t>29.01.Акт 216 кв.3. Сорвало кран в туалете,устранено установил кран 1 шт на стояке ввод в квартиру</t>
  </si>
  <si>
    <t>30.01. Акт 224 кв.6. Не поступает вода в бачок унитаза, прочищен кран на вводе в квартиру</t>
  </si>
  <si>
    <t>31.01. Акт 229 кв.50 Капает вода из крана в ванной сильно, обследовано, необходимо заменить смеситель</t>
  </si>
  <si>
    <t>31.01. Акт 240а кв.50. Замена смесителя в ванной</t>
  </si>
  <si>
    <t>13.01. Акт 71 кв.16. В подъезде не горят лампочки. Замена лампочек 4 шт</t>
  </si>
  <si>
    <t>16.01. Акт 105 кв.15. Нет света в подъезде, замена лампочек 4 шт</t>
  </si>
  <si>
    <t>20.01. Акт 135 кв.38. Нет света в квартире.Замена вставки в подвале</t>
  </si>
  <si>
    <t>26.01. Акт 185 кв.31. Нет света в подъезде. Замена лампочек 4 шт</t>
  </si>
  <si>
    <t>28.01. Акт 197 3 подъезд, нет света в подъезде, замена лампочек 4 шт</t>
  </si>
  <si>
    <t>27.02. Акт 439 кв.29. Почистить вентиляцию, вентиляция прочищена</t>
  </si>
  <si>
    <t>02.02. Акт 253 кв.25. Сливной бачок не держит воду, устранили сами</t>
  </si>
  <si>
    <t>11.02. Акт 298 кв.6. Подтекает смеситель в ванной комнате, устранено</t>
  </si>
  <si>
    <t>17.02. Акт 350 кв.35. Засор канализации, устранено прочищен лежак в подвале</t>
  </si>
  <si>
    <t>27.02. Акт 450 кв.50. Подтекает кран в туалете, устранено</t>
  </si>
  <si>
    <t>28.02. Акт 469 в 4 подвале запах канализации, осмотрено бежит канализация, прочистили  до  колодца</t>
  </si>
  <si>
    <t>07.02. Акт 276 кв 38. Заменить лампочки в подъезде, замена лампочек 5шт</t>
  </si>
  <si>
    <t>14.02. Акт 324 нет света в подъездах, замена лампочек 10 шт</t>
  </si>
  <si>
    <t>21.02. Акт 394 3 подъезд не горят лампочки, замена лампочек 3 шт</t>
  </si>
  <si>
    <t>28.02. Акт 453 нет света в подъездах. Замена лампочек 8 шт</t>
  </si>
  <si>
    <t>15.03. Акт 619 кв.43 Течь воды с потлка в туалете, в подъезде. Осмотрено, течь воды по вентиляционным и канализационным трубам с крыши, осмотр всего чердачного помещения</t>
  </si>
  <si>
    <t>05.03. Акт 518 кв.29. Установка водосчетчика</t>
  </si>
  <si>
    <t>05.03. Акт 523 кв.26. Не поступает вода в сливной бачок, отказ от заявки</t>
  </si>
  <si>
    <t>07.03. Акт 539 кв 50, течь воды из сливного бачка, устранено регулировка арматуры бачка</t>
  </si>
  <si>
    <t>12.03. Акт 591 кв 46. Запах канализации в подъезде. Прочищено тросом из подвала до колодца</t>
  </si>
  <si>
    <t>04.03. Акт 501 1 подъезд нет света, замена лампочек</t>
  </si>
  <si>
    <t>05.03. Нет света 2 подъезд, замена лампочек 3 шт</t>
  </si>
  <si>
    <t>11.03. Акт 565,586  нет света  в 1,2,4 подъездах, замена лампочек</t>
  </si>
  <si>
    <t>12.03. Акт 589 кв.26. На 4 этаже неисправлен патрон, нет света, устранили сами</t>
  </si>
  <si>
    <t>13.03. Акт 596 2,3 подъезд, нет света в подъезде, замена лампочек 5 шт</t>
  </si>
  <si>
    <t>16.03. Акт 639 кв.12. На кухне и в коридоре нет света, осмотрено, при установке двери в кв.11. перебили провода</t>
  </si>
  <si>
    <t>17.03. Акт 642 кв.3. Нет света на кухне, в зале, включение автомата, требуется замена автомата</t>
  </si>
  <si>
    <t>19.03. Акт 659 кв.11. Посмотреть соединение проводов, правильное? Осмотрено</t>
  </si>
  <si>
    <t>26.03. Акт 715 кв. 29, заменить розетку в кухне, замна розетки</t>
  </si>
  <si>
    <t>29.03. Акт 741 кв.44. Нет света в квартире, сделали сами</t>
  </si>
  <si>
    <t>31.03. Акт 766 кв.11. Нет э/э в квартире, осмотрел, в квартире отгорел где-то провод.</t>
  </si>
  <si>
    <t>22.04. Акт 959 1 подвал. Ремонт входной двери в подвал</t>
  </si>
  <si>
    <t>01.04. Акт 775 кв.35. Топят соседи сверху, осмотренно сорвало гибкую подводку , перекрли воду в квартире</t>
  </si>
  <si>
    <t>03.04. Установка водосчетчика</t>
  </si>
  <si>
    <t>04.04. Акт 799 Рлановый осмотр подвалов, в подвалах сухо</t>
  </si>
  <si>
    <t>04.04. Акт 807 кв.23. Установка водосчетчика</t>
  </si>
  <si>
    <t>07.04. акт 827, кв 21. Нет воды, вода была, перекрыт кран</t>
  </si>
  <si>
    <t>06.04. Акт 825 кв 23, течет труба у счетчика, устранено, замена муфты</t>
  </si>
  <si>
    <t>09.04. Акт 853 кв.1. На кухне бежит кран. Устранено, замена 2 кранов на стояках</t>
  </si>
  <si>
    <t>15.04. Акт 904 кв.45. Поменять кран в ванной, отказ от заявки</t>
  </si>
  <si>
    <t>17.04. Акт 920 кв.38, подтекает кран на стояке, устранено перемотал подмотку под кран на стояке</t>
  </si>
  <si>
    <t>25.04. Акт 997 кв.26. Непрерывно бежит вода в сливной бачок, осмотрено, нужна замена бокового клапана на бачке</t>
  </si>
  <si>
    <t>01.04. Акт 774 кв.11. Посмотреть электрику проводку, обследовано, услуга платная</t>
  </si>
  <si>
    <t>02.04. Акт 788 кв.10. Нет света 1 подъезд, замена лампочек 2 шт</t>
  </si>
  <si>
    <t>03.04. Акт 794 нет света в подъездах, замена 8 лампочек</t>
  </si>
  <si>
    <t>03.04. Акт 794 нет света в подъездах, замена 4 лампочек</t>
  </si>
  <si>
    <t>03.04. Акт 794 нет света в подъездах, замена 1 лампочки</t>
  </si>
  <si>
    <t>04.04. Акт 798 Нет света 3 подъезд, замена 5 лампочек</t>
  </si>
  <si>
    <t>05.04. Акт 816 нет света в подъездах. Замена лампочек 3 шт</t>
  </si>
  <si>
    <t>09.04. Акт 845 нет света 3 подъезд, замена лампочек</t>
  </si>
  <si>
    <t>16.04. Акт 909 нет света в подъездах, замена лампочек</t>
  </si>
  <si>
    <t>17.04. Акт 917 нет света в подъезда, замена лампочек</t>
  </si>
  <si>
    <t>24.05. Акт 1211 кв.13. Течь воды пл венткоробу. Пропенено примыкание венткороба к плите</t>
  </si>
  <si>
    <t>24.06. Акт 1212 кв.28, течь воды по коробу, проведены работы по запениванию примыканий</t>
  </si>
  <si>
    <t>29.05. Акт 1244, открыть подвальные окна, окна открыли</t>
  </si>
  <si>
    <t>27.05. Акт 1231, закрыть вводные задвижки на дом</t>
  </si>
  <si>
    <t>01.05. Акт 1036 кв.15. Забита канализация, прочищено тросом через унитаз до стояка</t>
  </si>
  <si>
    <t>01.05. Акт 1037 кв.46 Запах канализации в подъезде. Осмотрено, выдавило заглушку в подвале. Заглушка вставлена и закреплена</t>
  </si>
  <si>
    <t>06.05. Акт 1056. Плановый осмотр подвалов, нарушений работы подвальных коммуникаций не обнаружено</t>
  </si>
  <si>
    <t>07.01. Акт 1075 кв.16. Течь в подвале, устранено, прочистка канализации</t>
  </si>
  <si>
    <t>08.05. Акт 1078 кв.16. Засор канализации, устранено прочистка в подвале</t>
  </si>
  <si>
    <t>08.05. Акт 1081 кв.3. Засор канализации, прочистка в подвале</t>
  </si>
  <si>
    <t>13.05. Акт 1126 кв.23. В подвале бежит труба, прочищено</t>
  </si>
  <si>
    <t>20.05. Акт 1167 Плановый осмотр подвалов, осмотрено в подвале сухо</t>
  </si>
  <si>
    <t>28.05. Акт 1238 4 подвал. Течь канализации в подвале. Устранено, прочищено</t>
  </si>
  <si>
    <t>06.05. Акт 1051 кв.7. Нет света в квартире. Осмотрено, замыкание эл.светильника, выбило автомат</t>
  </si>
  <si>
    <t>23.05. Акт 1200 кв.17. Нет света во 2 подвале.Осмотрено, выбило автомат в щитовой, устранено</t>
  </si>
  <si>
    <t>23.05. Акт 1203 кв.18. Нет света во 2 подъезде. Замена ламапочек 3 шт</t>
  </si>
  <si>
    <t>05.06. Акт 1272 кв.53. Подтекает кран на кухне. Осмотрено, необходимо заменить смеситель</t>
  </si>
  <si>
    <t>07.06.Акт 1294 кв 46. Стоит вода на полу в туалете, запах канализации в квартире, прочищено в подвале</t>
  </si>
  <si>
    <t>10.06. Акт 1319 кв.18. Льется вода в подвале, осмотрено вырвало пробку от канализации, поставили пробку на место</t>
  </si>
  <si>
    <t>12.06. Акт 1328 4 подвал, запах канализации в квартире, прочищена канализация в подвале.</t>
  </si>
  <si>
    <t>13.06. Акт 1334 кв.21. Течь канализации в подвале, прочищено тросом</t>
  </si>
  <si>
    <t>13.06.АКТ 1340 кв.46, запах канализации в квартире, устранено прочищено до колодца</t>
  </si>
  <si>
    <t>15.06. Акт 1350 кв.21. Течь канализации в подвале. Прочищена канализация тросом 6м, закрепил заглушку, заглушка слабая</t>
  </si>
  <si>
    <t>16.06. Акт 1351 2 подъезд, в подвале течет канализация, прочищено, была забита центральная канализация</t>
  </si>
  <si>
    <t>17.06.Акт 1352 кв.46. Запах канализации в квартире, устранено, прочистили центральную канализацию до колодца</t>
  </si>
  <si>
    <t>17.06. Акт 1354. кв2. Течь воды из трубы в туалете. Замена крана на стояке</t>
  </si>
  <si>
    <t>18.06. Акт 1366 кв.26. В ванной бежит вода, устранено, подтянут кран</t>
  </si>
  <si>
    <t>19.06. Акт 1371 кв.4. В ванной не течет вода из крана, нет дома никого</t>
  </si>
  <si>
    <t>21.06. Акт 1385 кв 46. Запах канализации в подъезде. Устранено, прочищено до колодца</t>
  </si>
  <si>
    <t>25.06. Акт 1400 кв.21. Течь канализации в подвале. Устранено, установил 2 отвода в трубу канализации</t>
  </si>
  <si>
    <t>26.06. Акт 1410 кв.11. Засор канализации в туалете, устранено прочистили канализации</t>
  </si>
  <si>
    <t>26.06. Акт 1411 4 подвал, течь канализации, устранено, прочищено</t>
  </si>
  <si>
    <t>29.06. Акт 1425 кв.21. Во 2 подвале сильно бежит стояк, прочищено тросом со второго до первого подвала по лежаку</t>
  </si>
  <si>
    <t>10.07.Акт 1489 кв.2. Вода стоит в туалете. Осмотрено, образование конденсата на трубе хвс, скопление воды на полу</t>
  </si>
  <si>
    <t>16.07.Акт 1517 кв.26. Не поступает вода в смывной бачок,осмотрено, отказ</t>
  </si>
  <si>
    <t>31.07. Акт 1602 кв.34. Установка водосчетчика, счетчик установлен</t>
  </si>
  <si>
    <t>30.07. Акт 1587 кв.26. Мокрый потолок в ванной, капает сверху, осмотрено, течь в ванной комнате через отверстие для подключения патрона, в кв.29 лопнула заглушка на трубе хвс</t>
  </si>
  <si>
    <t>30.07. Акт 1588 кв.29. Подтекает труба внизу на водосчетчике, осмотрено, лопнула заглушка, заводской брак, сотавлен акт</t>
  </si>
  <si>
    <t>06.06. Акт 1290 3 подъезд, не выключается свет, замена э/лампочек 4 шт, выключатель 1 шт, патрон настенный 1 шт</t>
  </si>
  <si>
    <t>01.07. Акт 1436 кв.31. Над счетчиком искрят провода, устранено, подтянут контакт</t>
  </si>
  <si>
    <t>12.07. Акт 1500 кв.31, В подъезде не горит свет. Произведена замена 5 лампочек</t>
  </si>
  <si>
    <t>26.07. Акт 1573 кв.26. Нет света в ванной.Обследовано, нет фазы в распредкоробке, обрыв провода в канале плит перекрытия, рекомендовано вскрыть на потолке все распредкоробки для определения обрыва фазы.</t>
  </si>
  <si>
    <t>26.07. Акт 1573 кв.45. На кухне нет воды, произведена замена крана на стояке</t>
  </si>
  <si>
    <t>05.08. Акт 1635 кв.43. После дождя в туалете бежит потолок, обследовано, вода прошла через примыкания вентиляции, необходимо провести бетонные работы по герметизации</t>
  </si>
  <si>
    <t>11.08. Акт 1673 кв.43. Протекает крыша в туалете в подъезде до 3го этажа, проведена герметизация примыкания вент.труб и канализационного стояка, обмазка жидким битумом</t>
  </si>
  <si>
    <t>09.08. Акт 1675 кв.45. Капает вода по трубе с потолка, осмотрено, требуется демонтаж кухонного стояка и герметизация отверстий</t>
  </si>
  <si>
    <t>12.08. Акт 1675 Произведена герметизация кухонного стояка на чердаке и кровле</t>
  </si>
  <si>
    <t xml:space="preserve">20.08. Акт 1730 кв.28. Протекает потолок в зале, 27.08. промазаны примыкания вент.труб к плитам покрытия жидким битумом </t>
  </si>
  <si>
    <t>05.08.Акт 1633 кв.23. В смывном бачке постоянно бежит вода. Осмотрено, нужна замена арматуры бачка</t>
  </si>
  <si>
    <t>13.08.Акт 1680 кв.45. Отрезать трубу, устранено, срезал трубу канализации в кухне, которая идет на крышу</t>
  </si>
  <si>
    <t>14.08. Акт 1688 кв.46. Канализация в подвале льет на пол, прочищено тросом до колодца</t>
  </si>
  <si>
    <t>15.08. Акт 1695 кв.23. Из бочка непрерывно бежит вода, произведена замена поплавка с клапаном в сл.бачке</t>
  </si>
  <si>
    <t>22.08. Акт 1708 кв.46. Сильный запах канализации из 4 подвала. Устранено, прочищено до колодца</t>
  </si>
  <si>
    <t>28.08.Акт 1741 кв.46. 4 подвал запах канализации, пробивка тросом выпуска из дома до колодца, посторонние предметы , влажные салфетки</t>
  </si>
  <si>
    <t>30.08. Акт 1747 кв.36. Подтекает труба, произведена замена стояка хвс из подвала до 3-го этажа 8 п.м.</t>
  </si>
  <si>
    <t>30.08. Акт 1752 кв.36. Нет воды в туалете. Устранено, прочищен кран (ввод) в квартиру, необходимо заменить трубы</t>
  </si>
  <si>
    <t>14.08. Акт 1689 кв.31. Нет света в подъезде. Замена лампочек 2 шт</t>
  </si>
  <si>
    <t>23.09. Акт 1943 Плановые, закрыть окна. Окна в подвалах закрыты</t>
  </si>
  <si>
    <t>30.09. Акт 2035 кв.15. Потекла крыша в зале. Промазано битумом на крыше</t>
  </si>
  <si>
    <t>30.09. Акт 2057 кв.28. Бежит крыша. 01.10. Обследовано кровля, чердак, мест протекания не обнаружено, дома никого нет</t>
  </si>
  <si>
    <t>01.09. Акт 1759 4 подвал. Течь канализации в подвале. Пробивка тросом стояка канализации, тряпки</t>
  </si>
  <si>
    <t xml:space="preserve">04.09. Акт 1806 кв.23. В подвале бежит вода. Пробивка тросом кухонного лежака канализации </t>
  </si>
  <si>
    <t>23.09. Акт 2002 кв 28,22,40,15,27, холодные батареи, стояки перепущены</t>
  </si>
  <si>
    <t>25.09. Акт 1988, 1990 кв.7.1 Шум стук в батареи, устранено, неисправность вентиля</t>
  </si>
  <si>
    <t>11.09. Акт 1862 кв.31. 3 подъезд на улице и в подъезде перегорели лампочки. Ремонт патрона, замена лампочек 4 шт</t>
  </si>
  <si>
    <t>16.09. Акт 1882 1 подъезд, нет света в подъезде, замена лампочек 4 шт</t>
  </si>
  <si>
    <t>26.09. Акт 1993 3 подъезд, нет света в подъезде, замена лампочек 3 3шт</t>
  </si>
  <si>
    <t>07.10. Акт 2132 кв.43. Застеклить окно в подъезде, устранено, произведено остекление оконных проемов</t>
  </si>
  <si>
    <t>16.10. Акт 2198 кв.13. Шум в батареях и по стояку, устранено, замена кранбуксы на стояке отопления</t>
  </si>
  <si>
    <t>01.10. Акт 2045 кв.32. Засор канализации, прочищено тросом из квартиры и по лежаку в подвале.</t>
  </si>
  <si>
    <t>11.10. Акт 2164 Плановый осмотр подвальных помещений. Осмотрено, нарушений работы инженерных коммуникаций не обнаружено</t>
  </si>
  <si>
    <t>28.10. Акт 2281 кв.46. Сильный запах канализации из подвала. Прочищено тросом из подвала до колодца</t>
  </si>
  <si>
    <t>29.10. Акт 2285 кв.8. Топят квартиру в низу. Перекрыли  стояк. Открыли стояк</t>
  </si>
  <si>
    <t>31.10. Акт 2297 кв.45. Плохой напор воды в ванной. Произведена замена крана на стояке</t>
  </si>
  <si>
    <t>03.10. Акт 2114  1 подъезд. Нет света в 1 подъезде. Замена лампочек 4 шт</t>
  </si>
  <si>
    <t>16.10. Акт 2209 кв.31. Нет света в подъезде. Замена лампочек 4 шт</t>
  </si>
  <si>
    <t>16.10. Акт 2211 кв.14. Нет света на 4,5 этажах. Замена лампочки 1 шт</t>
  </si>
  <si>
    <t>08.11. Акт 2459 Плановый осмотр подвалов. Осмотрено, замечаний нет, инженерные сети в рабочем состоянии</t>
  </si>
  <si>
    <t>14.11. Акт 2550 кв.45. Течь крана на стояке, произведена замена крана на стояке хвс</t>
  </si>
  <si>
    <t>27.11. Акт 2670 Плановый обход подвальных коммуникаций, осмотрено, протечек не обнаружено, инженерные сети в рабочем состоянии</t>
  </si>
  <si>
    <t>30.11. Акт 2704 кв.26. Топят соседи сверху, перекрыли стояк</t>
  </si>
  <si>
    <t>30.11. Акт 2705 кв.29. Подтекает труба. Устранено, установлена заглушка (после установки водосчетчика была установлена заглушка на одном трубопроводе, заглушка установлена повторно)</t>
  </si>
  <si>
    <t>06.11. Акт 2333 кв.50. Под раковиной бежит вода на кухне, отпал сифон от раковины</t>
  </si>
  <si>
    <t>05.11. Акт 2338 кв.28. Нет света в подъезде, замена 4 х лампочек</t>
  </si>
  <si>
    <t>09.11. Акт 2481 кв.14. Нет света в квартире, произведена замена вводного автомата</t>
  </si>
  <si>
    <t>11.11. Акт 2520 4 подъезд, нет света. Замена лампочек 3 шт</t>
  </si>
  <si>
    <t>19.11. Акт 2643 кв.39. В ванной нет света. В подъезд не пустили</t>
  </si>
  <si>
    <t>21.11. Акт 2623  3 подъезд, нет света в подъезде. Замена лампочек 5 шт</t>
  </si>
  <si>
    <t>05.12. Акт 2784 кв.44. На кухне искрит розетка. Замена розетки</t>
  </si>
  <si>
    <t>10.12. Акт 2809 кв.57. Нет света в квартире, из эл/счетчика вынут "о"провод, квартира обесточена за неупату  за электроэнергию.</t>
  </si>
  <si>
    <t>10.12. Акт 2810 кв.57. Нет света в подъезде, произведена замена 2х лампочек, на входе не работает светильник</t>
  </si>
  <si>
    <t>11.12. Акт 2835 кв.3. Свет не горит в зале и на кухне. Замена автомата 25А - 1шт</t>
  </si>
  <si>
    <t>20.12. Акт 2916 кв.17. Выбивает автомат на квартиру, замена автомата 1 шт</t>
  </si>
  <si>
    <t>30.12. Акт 2938 2 подъезд, нет света при входе в подъезд, замена лампочек 1 шт</t>
  </si>
  <si>
    <t>30.12. Акт 2957 кв.11. Нет э/э  в квартире, сгорел пакетный выключатель. Установка автомата 1 шт, замена лампочек 4 шт</t>
  </si>
  <si>
    <t>06.12. Акт 2782 Плановый осмотр подвалов, осмотрено, нарушений подвальных коммуникаций не обнаружено</t>
  </si>
  <si>
    <t>11.12. Акт 2821 Плановый осмотр подвалов, осмотрено, замечаний нет</t>
  </si>
  <si>
    <t>11.12. Акт 2828 кв.44. Замена смесителя на кухне, установка смесителя</t>
  </si>
  <si>
    <t>11.12. Акт 2829 кв.44. Из сифона капает вода, устранено</t>
  </si>
  <si>
    <t>13.12. Акт 2859 кв.29. Прорвало трубу на кухне, где водосчетчик, топят кв 26. Лопнула заглушка, произведена замена заглушки на втором стояке хвс</t>
  </si>
  <si>
    <t xml:space="preserve">17.12. Акт 2898 кв.44. Кран капает на кухне, осмотрено </t>
  </si>
  <si>
    <t>20.12. Акт 2920 подвал, плановый осмотр подвалов, осмотрено, замечаний нет, системы работают нормально</t>
  </si>
  <si>
    <t>21.12. Акт 2932 кв.50. Капает в туалете. Устранено, подтянули гибкую подводку</t>
  </si>
  <si>
    <t xml:space="preserve">23.12. Акт 2946 Плановый осмотр подвало, осмотрено, течи нет, сеть отопления работает нормально, лежак и стояки прогреваются </t>
  </si>
  <si>
    <t xml:space="preserve">27.12. Акт 291 Плановый осмотр подвало, осмотрено, заменен на спускнике кран </t>
  </si>
  <si>
    <t>30.12. Акт 2927 Плановый осмотр подвало, осмотрено, замечаний нет, системы работают нормально</t>
  </si>
  <si>
    <t>Дефицит  денежных средств по жилому дому на 01.01.2014г</t>
  </si>
  <si>
    <t>30.12. Акт 1861 кв 46,48. В квартире пахнет канализацией. Осморено в подвале запах отсутствует. 9.01.проведена дезинфекция</t>
  </si>
  <si>
    <t>17.01. Акт 119 кв.33. Выбито окно в подвале. Окно закрыто фанерой и закреплено саморезами 18.01</t>
  </si>
  <si>
    <t>26.01. Акт 186 кв.13. Бежит с крыши по стене подъезда, обследовано 27.01., протекает венткороб</t>
  </si>
  <si>
    <t>31.01. Акт 240 кв.46. Запах канализации в квартире, устранено проведена дезинфекция техподполья</t>
  </si>
  <si>
    <t>11.01.Акт 54,  1 и 4 подъезд, обследовать стояки 3х комнатных квартир, стояки перепущены</t>
  </si>
  <si>
    <t>25.01.Акт 173 кв.11.Холодно в квартире, перепущены стояки</t>
  </si>
  <si>
    <t>01.01.Акт 1 кв.29. Порвало трубу с холодной водой, осмотрено, лопнул эксцентрик на смесителе в ванной, установлили заглушку</t>
  </si>
  <si>
    <t>09.01. Акт37 кв.29. Ремонт смесителя в ванной.</t>
  </si>
  <si>
    <t>23.01. акт 156 2,3 подвалы, Засор канализации. Прочищено тросом 2-3-4 подвалы до колодца</t>
  </si>
  <si>
    <t>26.01. Акт 182 кв 9. Не работает сливной бачок, нет дома в кв.15 не держит сливной клапан</t>
  </si>
  <si>
    <t>28.01. Акт 207 кв 29, не работает сливной бачок, осмотрено, запала кнопка, исправлено</t>
  </si>
  <si>
    <t>30.01. Акт 228 кв 46. Сильный запах канализации. Осмотрено, засор центральной канализации по ул.Лесная</t>
  </si>
  <si>
    <t>31.01. Акт 231 кв.46. Запах канализации из подвала. Обследовано, пробита канализация, произведена дезинфекция техподвала</t>
  </si>
  <si>
    <t>31.01. Акт 239 кв.29. Из бачка непрерывно бежит вода. Осмотрено, устранили сами</t>
  </si>
  <si>
    <t>09.01. акт 33 кв.13. Не горит свет в подъезде. Замена лампочек 5 шт</t>
  </si>
  <si>
    <t>15.01. Акт 85 кв.51. Нет света в подъезде, замена лампочек 4 шт</t>
  </si>
  <si>
    <t>17.01. Акт 112 нет света в подъездах. Замена лампочек 10 шт</t>
  </si>
  <si>
    <t>21.01. Акт 143 кв 29. Розетка с эл.плиты горит. От заявки отказались</t>
  </si>
  <si>
    <t>24.01. Акт 194 кв.24. Нет света в подъезде. Замена лампочек 3 шт</t>
  </si>
  <si>
    <t>29.01. Акт 217 кв.13. Нет света в квартирах. Осмотрено, выбило вставку в подвале. Замена вставки</t>
  </si>
  <si>
    <t>28.02. Акт 468 кв.14. Течет с потолка между туалетом и кухней. Обследовано 04.03. , включено в план на летний период</t>
  </si>
  <si>
    <t>01.02. акт 246 3,4 подвал. Засор канализации. Прочищено тросом до колодца, проведена дезинфекция мистралью</t>
  </si>
  <si>
    <t>07.02. Акт 273 Осмотр подвалов. Осмотрено, работают системы нормально</t>
  </si>
  <si>
    <t>08.02. Акт 286 Засор канализации, прочищено тросом по лежаку в подвалах 1-4 до колодца</t>
  </si>
  <si>
    <t>14.02. Акт 323 кв.5. В сливном бачке наполняется вода и течет через край. Устранено, регулировка арматуры</t>
  </si>
  <si>
    <t>22.02. Акт 406  Осмотр канализации, засор по лежаку во втором подвале, прочищено</t>
  </si>
  <si>
    <t>25.02. Акт 420 кв.50. Заменить смеситель в ванной</t>
  </si>
  <si>
    <t>06.02. Акт 268 кв.49. Нет света в подъезде. Замена лампочек 5 шт</t>
  </si>
  <si>
    <t>11.02.Акт 293 кв.23. Перегорели лампочки в подъезде. Замена лампочек 4 шт</t>
  </si>
  <si>
    <t>18.02. Акт 364 1 подъезд. Нет света в подъезде, замена лампочки</t>
  </si>
  <si>
    <t>19.02. Акт 369 кв.13. Нет света в подъезде. Замена лампочек 5 шт</t>
  </si>
  <si>
    <t>28.02. Акт 461 Нет света в подъездах. Замена лампочек 6 шт</t>
  </si>
  <si>
    <t>03.03. Акт 498 кв.15. Сильно течет с крыши. Обследовано 04.03. , включено в план ремонта на 2013 год</t>
  </si>
  <si>
    <t>03.03. Акт 489 кв.29. Течет крыша, стык ванной и кухня. Обследовано 04.03. Включено план</t>
  </si>
  <si>
    <t xml:space="preserve">04.03. Акт 509 кв.48. Сильный запах канализации. Осмотрено, течи канализациине обнаружено, </t>
  </si>
  <si>
    <t>05.03. засор канализации во 2 и 3 подвалах, прочищено</t>
  </si>
  <si>
    <t>03.03. Акт 491 кв.46. Запах канализиции. Осмотрено нарушений работы систем канализации, водоснабжения и отопления не обнаружено</t>
  </si>
  <si>
    <t>31.03. Акт 761 кв 55 Нет э/э в квартире. Замена автомата 1 шт</t>
  </si>
  <si>
    <t>29.03. Акт 744 кв.13. Нет света на 5 этаже. Замена лампочек</t>
  </si>
  <si>
    <t>28.03. акт 729 кв 23.24.Нет света в подъезде, замена лампочек 10 шт в подъездах</t>
  </si>
  <si>
    <t>25.03. Акт 701  Нет света в 1 подъезде. Замена лампочек 5 шт</t>
  </si>
  <si>
    <t>11.03. Акт 573  кв.20. Нет света в подъезде, замена лампочек 4 шт, настенный патрон</t>
  </si>
  <si>
    <t>05.03. Акт 514 кв.13. Нет света в подъезде. Замена лампочек 2шт</t>
  </si>
  <si>
    <t>07.04. Акт 829 кв.13. На кухне-спальне сильно бежит потолок, осмотрено, течь венткороба</t>
  </si>
  <si>
    <t>11.04. Акт 883 кв.46 в 3 подъезде выбиты стекло в подвале. Осмотрено, сняты размеры для закрытия окон подвала</t>
  </si>
  <si>
    <t>08.04. Акт 841 кв.12. Забилась канализация, прочищен через ревизию стояк</t>
  </si>
  <si>
    <t>08.04. Акт 838 засор канализации 2,3 подъезды. Прочищено тросом по лежаку 2,3 подвалы до колодца</t>
  </si>
  <si>
    <t>09.04. Акт 849 2,3 подвал засор канализации, прочищено</t>
  </si>
  <si>
    <t>10.04. Акт 864 2 подвал, пробить канализацию, прочищено тросом по лежаку до колодца</t>
  </si>
  <si>
    <t>11.04. Акт 875 кв.46. Запах канализации, осмотрено, обработка дезинфицирующим средством</t>
  </si>
  <si>
    <t>12.04. Акт 887 Осмотр канализации, пробивка, установка заглушек</t>
  </si>
  <si>
    <t>13.04. Акт 892 Плановый осмотр подвалов. Нарушений работы системы канаплизации не обнаружено, подтопления подвалов сточными водами не наблюдается</t>
  </si>
  <si>
    <t>13.04. Акт 891 кв.2. В туалете сорвало трубу. Осмотрено, ослабела гайка соединения на счетчике, устранено</t>
  </si>
  <si>
    <t>14.04. Акт 895 кв 52. В ванной сорвало кран. , устранено, кран на стояке заменен</t>
  </si>
  <si>
    <t>29.04. Акт 1029 кв.43. В сливной бачок не поступает вода. Устранено, прочистили кран на центральном стояке хвс</t>
  </si>
  <si>
    <t>15.04. Акт 907 4 подъезд, нет света, замена лампочек 4 шт</t>
  </si>
  <si>
    <t>16.04. Акт 912 кв.22,23 .Перегорели лампочки в подъкезде. Замена лампочек 2 шт</t>
  </si>
  <si>
    <t xml:space="preserve">13.05.Акт 1130 кв.29. Течет крыша. Осмотрено, течь перекрытия по вентиляции, необходимо провести утепление венткороба </t>
  </si>
  <si>
    <t>21.05. Акт 1188 Открыть окна в подвале. Устранено, окна открыты</t>
  </si>
  <si>
    <t>13.05. Акт 1131 2 подвал засор канализации. Прочищено тросом по лежаку второго и третьего подвалов</t>
  </si>
  <si>
    <t>30.05. Акт 1248 кв.24. Течь воды в подвале. Устранено</t>
  </si>
  <si>
    <t>08.05. Акт 1080 кв 24,25. Нет света в подъезде. Замена лампочек 5шт</t>
  </si>
  <si>
    <t>21.05. Акт 1190  Нет света в подъезде. Замена лампочек 10 шт</t>
  </si>
  <si>
    <t>19.06. Акт 1407 кв.29. Выполнены работ по герметизации примыкания вент трубы битумной мастикой</t>
  </si>
  <si>
    <t>06.06. Акт 1286 Плановый осмотр подвалов. Вода по периметру стоит, наблюдение за уровнем грунтовых вод</t>
  </si>
  <si>
    <t>11.06.Акт 1219 кв.29. Течет крыша. Запенена вентиляционная труба, примыкание к кровле</t>
  </si>
  <si>
    <t>11.06.Акт 1320 Хлещет вода в подвале. Осмотрено, забита центральная канализация, устранено прочищены лежаки 1 и 2 подвала</t>
  </si>
  <si>
    <t>28.06. Акт 1419 Осмотр канализации. Осмотрено, нарушений работы системы канализации не обнаружено</t>
  </si>
  <si>
    <t>06.06. Акт 1283 Нет света в 1 подъезде. Замена лампочек 4 шт</t>
  </si>
  <si>
    <t>09.06. Акт 1311 4 подъезд нет света. Замена лампочек 3 шт</t>
  </si>
  <si>
    <t>10.06.Акт 1313 кв.24. Нет света во 2 подъезде. Замена лампочек 3 шт</t>
  </si>
  <si>
    <t>08.07.Акт 1478 кв.14 Течь унитаза. Осмотрено, нужна замена арматуры в бочке, 09,07 произведена замена арматуры</t>
  </si>
  <si>
    <t>19.07.Акт 1537 кв.14. Течь воды из сливного бачка, устранено 25.07.</t>
  </si>
  <si>
    <t>23.07. Акт 15674 кв.35. Засор в ванной. Прочистка сифона</t>
  </si>
  <si>
    <t>24.07. Акт 1561 кв.14. Подтекает сливной бачок.Осмотрено, течи не обнаружено</t>
  </si>
  <si>
    <t>29.07.Акт 1585 кв.24. В подвале хлещет вода. Устранено, установлена заглушка на ревизию, прочищен лежак</t>
  </si>
  <si>
    <t>31.07.Акт 1605 кв.51. Течь воды в подвале. Прочищено тросом из колодца по лежаку по подвалу</t>
  </si>
  <si>
    <t>12.07.Акт 1497 2 подъезд. Нет света в тамбуре и на 2 этаже, замена 2х лампочек</t>
  </si>
  <si>
    <t>31.07.Акт 1606 кв.51. Нет света на 2 этаже. Замена лампочек  6 шт</t>
  </si>
  <si>
    <t>09.08.Акт 1659 кв.53. Запенить дыру под балконной плитой. Произведено запенивание межплиточного шва под плитой балкона 4 этажа</t>
  </si>
  <si>
    <t>09.08.Акт 1660 2 подъезд. Отремонтировать окно. Наружняя рама укреплена, внутренняя демонтирована и увезена  на ремонт и остекление</t>
  </si>
  <si>
    <t xml:space="preserve">22.08.Акт 1703 кв.1. несанкционировная врезка отопления приборов, восстановлена схема стояков отопления в двух спальнях, обрезка доп.отопительных приборов, </t>
  </si>
  <si>
    <t>01.08.Акт 1617 3,4 подвалы, засор канализации. Пробивка тросом канализационного лежака во 2,3,4 подвалах</t>
  </si>
  <si>
    <t>02.08.Акт 1621 3 и 4 подвалы.Засор канализации, прочистка тросом лежака канализации в 3 и 4 подвалах</t>
  </si>
  <si>
    <t>06.08.Акт 1645 кв.48. В подвале хлещит вода. Осмотрено, стоит центральная канализация, зона отвественности Теплосервиса</t>
  </si>
  <si>
    <t>16.08. Акт 1696 кв.17 Запах канализации в подъезде. Засор канализации прочищен тросом, во втором подвале произведена откачка сточных вод</t>
  </si>
  <si>
    <t>19.08.Акт 1675 2 подвал. Засор канализации, прочищено тросом по лежаку до колодца</t>
  </si>
  <si>
    <t>20.08.Акт 1684 1 и 2 подвал, произведена откачка сточных вод из 1 и 2 подвалов</t>
  </si>
  <si>
    <t>28.08.Акт 1742 кв.12 В бачок унитаза не поступает вода, устранено, прочищен клапан</t>
  </si>
  <si>
    <t>17.08.Акт 1672 4 подъезд. Нет света в подъезде. Замена лампочек 5 шт</t>
  </si>
  <si>
    <t>27.09. Акт 1997 кв.13. Капает вода с потолка, промазка шва примыкания парапета к плитам и др.</t>
  </si>
  <si>
    <t>26.09. Акт 2013 кв.13. Угловые комнаты холодные, перепущен  стояк</t>
  </si>
  <si>
    <t xml:space="preserve">18.09.Акт 1913 кв.17. Сильный запах канализации из подвала. Пробивка тросом лежака в подвале № 2 </t>
  </si>
  <si>
    <t>19.09.Акт 1912 кв.13. Сильный запах канализации в 1 подъезде. Осмотрено, грунтовые воды в подвале</t>
  </si>
  <si>
    <t>20.09.Акт 1946 кв.17. Сильный запах канализации из подвала. Грунтовые воды в подвале</t>
  </si>
  <si>
    <t xml:space="preserve">22.09.Акт 1940 кв.1. Стоит канализация в 1 подвале. Прочищено тросом по лежаку </t>
  </si>
  <si>
    <t>24.09. Акт 1968 2 подвал, течь канализации, прочищено тросом по лежаку</t>
  </si>
  <si>
    <t>30.09.Акт 2039 во 2 подвале стоит канализация, прочищено тросом по лежаку в подвале</t>
  </si>
  <si>
    <t>06.09.Акт 1847 кв.24. Перегорели лампочки. Замена лампочек 9 шт</t>
  </si>
  <si>
    <t>16.09.Акт 1889 нет света в подъезде 1,2. Замена лампочек 3 шт</t>
  </si>
  <si>
    <t>19.09.Акт 1921 кв.13. Нет света в 1 подъезде. Замена лампочек 3 шт</t>
  </si>
  <si>
    <t>23.09.Акт 1991 кв.16. Посмотреть пакетник. Осмотрено, неравильное подключение не обнаружено</t>
  </si>
  <si>
    <t>30.09. Акт 2037 кв.16. Посмотреть пакетник. Замена пакетника на 18 квартиру, установка автомата 40А</t>
  </si>
  <si>
    <t>02.10.Акт 2059 кв.26. Сильный запах канализации из подвала. Прочищены тросом лежаки канализации в подвале 2,3</t>
  </si>
  <si>
    <t xml:space="preserve">04.10.Акт 2095 2 подвал. Откачка сточных вод из подвала </t>
  </si>
  <si>
    <t>11.10.Акт 2168 3,4 подвалы. Засор канализации. Прочищено тросом по лежаку в 3 и 4 подвале</t>
  </si>
  <si>
    <t>12.10.Акт 2173 кв.17. Сильный запах канализации из подвала. Стоит центральная канализация от домов , телефонограмма в теплосервис</t>
  </si>
  <si>
    <t>12.10.Акт 2177 кв.11. Бежит вода через водосчетчик, устранено</t>
  </si>
  <si>
    <t>18.10.Акт 2215 засор канализации в 3,4 подвалах, прочищено  тросом из третьего подвала до колодца</t>
  </si>
  <si>
    <t>22.10.Акт 2246 кв.46. В подъезде и в квартире запах канализации, засор канализации во 2,3,4 подвалах, прочищено тросом</t>
  </si>
  <si>
    <t>22.10.Акт 2240 откачка сточных (грунтовых) вод из 2 подвала</t>
  </si>
  <si>
    <t>23.10.Акт 2250 , откачка сточных(грунтовых) вод из подвалов, утечек из систем нет</t>
  </si>
  <si>
    <t>16.10.Акт 2207 кв.46. Нет света 4 подъезд. Замена лампочек 3 шт</t>
  </si>
  <si>
    <t>18.10.Акт 2224 кв.23. Розетка сплавилась, водонагреватель не работает. Осмотрено, розетка и вилка в рабочем состоянии</t>
  </si>
  <si>
    <t>31.10.Акт 2301 кв.51. Нет света в подъезде. Замена лампочек 5 шт</t>
  </si>
  <si>
    <t>07.11.Акт 2346, 2447  Плановые работы, остекление подъездных окон в количестве 6 штук</t>
  </si>
  <si>
    <t>08.11. Акт 2471 подвалы, осмотрено, замечаний нет</t>
  </si>
  <si>
    <t>08.11. Акт 2486 кв.29. Плохой напор воды в квартире, произведена замена крана на стояке</t>
  </si>
  <si>
    <t>11.11. Акт 2487 2 подвал. Засор канализации. Прочищено тросом по лежаку</t>
  </si>
  <si>
    <t>12.11. Акт 2505 Осмотр систем канализации в подвале. Осмотрено, установлена заглушка на ревизии</t>
  </si>
  <si>
    <t>14.11. Акт 2541 кв.1. Шумит в подвале вода. Засор канализации, прочищено тросом по лежаку в первом и втором подвалах</t>
  </si>
  <si>
    <t>15.11. Акт 2560 Плановый осмотр канализации. Осмотрено, замечаний нет</t>
  </si>
  <si>
    <t>19.11. Акт 2586, осмотр подвала, замечаний по работе инженерных сетей не обнаружено</t>
  </si>
  <si>
    <t>19.11. Акт 2588 кв.42. Замена стояка канализации 2 п.м.</t>
  </si>
  <si>
    <t>13.11. Акт 2529 кв.42. Замена унитаза, произведена замена унитаза</t>
  </si>
  <si>
    <t>20.11. Акт 2599 кв.52. Установка водоподогревателя</t>
  </si>
  <si>
    <t>21.11. Акт 2609 кв.17, 2 подвал. Сильный запах канализации из подвала. Засор канализации не обнаружен. Запах от стоячей воды в 1 и 2 подвалах.</t>
  </si>
  <si>
    <t>24.1.1 Акт 2639 кв.52, течь смесителя в ванной. Закрыт кран на подаче воды, переустановлена кран-букса</t>
  </si>
  <si>
    <t>25.11. Акт 2630 2 подвал. Сильный запах канализации из подвала, прочищено тросом</t>
  </si>
  <si>
    <t>28.11. Акт 2701 кв.17. Запах канализации в квартире, откачка грунтовых вод из подвала 2,1</t>
  </si>
  <si>
    <t>29.11. Акт 2698 2,3,4 подвалы, засор канализации, прочищено</t>
  </si>
  <si>
    <t>06.11. Акт 2339 кв.23,27, нет света в подъезде, замена 4 лампочек</t>
  </si>
  <si>
    <t>12.11. Акт 2527 кв.42. Не работает выключатель, осмотрено выключатель в рабочем состоянии, замена лампочек 3 шт</t>
  </si>
  <si>
    <t>12.11.Акт 2526 3,4 подъезд, нет света в подъезде. Замена лампочек 4 шт</t>
  </si>
  <si>
    <t>26.11. Акт 2713 кв.13. Нет света в подъездах. Замена 4 лампочек</t>
  </si>
  <si>
    <t>27.11. Акт 2714 кв 22,24. Замена лампочек 3 шт</t>
  </si>
  <si>
    <t>03.12. Акт 2746 . Изготовление и установка предупреждающих табличек на дом.  Таблички изготовили и укрепили на фасаде 2 таблички</t>
  </si>
  <si>
    <t>08.12. Акт 2795 кв.13. Холодные батареи, перепущены по всем стоякам квартиры</t>
  </si>
  <si>
    <t>13.12. Акт 2845 кв.13. Холодные батареи. Обследовано температура на лежаке в подвале 48град, обратка 33 град, температура на стояке в квартире 36-38 градусов</t>
  </si>
  <si>
    <t>03.12. Акт 2751 Засор 2.3. подвалов. Прочистка тросом лежака канализации во 2 и 3 подвалах</t>
  </si>
  <si>
    <t>08.12. Акт 2793 Осмотр подвалов. Осмотрено, замечаний нет</t>
  </si>
  <si>
    <t>09.12. Акт 2798 кв.17. Сильный запах канализации из подвала. Произведена откачка грунтовых вод из подвала 2</t>
  </si>
  <si>
    <t>10.12. Акт  1.2. подвал, откачать грунтовые воды. Произведена откачка грунтовых вод из 1 и 2 подвалов</t>
  </si>
  <si>
    <t>18.12. Акт 2907 кв.12. Засор унитаза. Осмотрено, для прочистки лежака необходимо демонтировать унитаз</t>
  </si>
  <si>
    <t>19.12. Акт 2910 2 подвал. Засор канализации, прочищено тросом по лежаку</t>
  </si>
  <si>
    <t>24.12. Акт 2968 кв.46 Сильный запах канализации из подвала, прочищено тросом по лежаку 4 подвал</t>
  </si>
  <si>
    <t>24.12. Акт 2988 кв.33. Не поступает вода в унитаз. Устранено, был забит клапан на бочке унитаза</t>
  </si>
  <si>
    <t>25.12. Акт 2989 кв.12. Перекрытие стояков хвс и отопления, запуск стояков</t>
  </si>
  <si>
    <t>27.12. Акт 2905 2,3,4 подъезды, засор канализации, прочищено до колодца</t>
  </si>
  <si>
    <t>30.12. Акт 2952 кв.52 Установить сифон в ванной, сифон установлен</t>
  </si>
  <si>
    <t>30.12. Акт 2954 кв.17. Запах канализации из подвала, прочистка лежака канализации "ершом" с промывкой</t>
  </si>
  <si>
    <t>31.12. Акт 2956 кв.46. В 4 подъезде запах канализации. Осмотрено, стоит центральная канализация, зона Теплосервиса</t>
  </si>
  <si>
    <t>13.12. Акт 2878 кв.52. Нет света в подъезде. Замена 4 лампочек</t>
  </si>
  <si>
    <t>24.12. Акт 2983 кв.29. Отстала крышка от розетки на э/плиту. Осмотрнено, требуется замена вилки</t>
  </si>
  <si>
    <t>30.12. Акт 2940 кв.52. Нет света в подъезде. Замена лампочек 4 шт</t>
  </si>
  <si>
    <t xml:space="preserve"> по улице  Пушкина   за 2013 год</t>
  </si>
  <si>
    <t>25.01. Акт 178 3 этаж, левое крыло закрыть дверь на пожарную лестницу.  Дверь закрыта</t>
  </si>
  <si>
    <t>10.01.Акт 45 Плановый осмотр подвалов. Произведен осмотр подвалов, нарушений работы систем водоснабжения и отопления не обнаружено</t>
  </si>
  <si>
    <t>17.01.Акт 116 Плановый осмотр подвалов, произведен осмотр подвалов</t>
  </si>
  <si>
    <t>28.01. Акт 148 кв.70. Сливной бачок не держит воду. Произведена замена арматуры бачка</t>
  </si>
  <si>
    <t>29.01. Акт 212 Плановый осмотр подвалов, осмотрено, протечки канализации и других систем нет</t>
  </si>
  <si>
    <t>10.01. Акт 49 кв.42 Нет света на 4 этаже. Замена лампочек 10 шт на всех этажах</t>
  </si>
  <si>
    <t>15.01. Акт 89 кв.70 нет света в коридоре, замена лампочек</t>
  </si>
  <si>
    <t>26.01. Акт 183 кв.32 В общем коридоре нет света, сломан патрон. Замена лампочек 5 шт, замена патрона 1 шт</t>
  </si>
  <si>
    <t>27.01. Акт 190 Нет света на 3 этаже. Замена лампочек 5 шт</t>
  </si>
  <si>
    <t>28.01.Акт 203 кв.64, сломан выключатель, нет света в общем коридоре,замена лампочек 4 шт</t>
  </si>
  <si>
    <t>01.02. Акт 244 кв.31 Провести работы по очистке вентиляции, трубы вентиляции прочищены</t>
  </si>
  <si>
    <t>06.02. Акт 269 кв.31. Заделать двери пожарные . Двери пожарных выходов заделаны</t>
  </si>
  <si>
    <t>11.02. Акт 302 кв 75 Сделать ручку на входную дверь. Ручка на входную дверь установлена</t>
  </si>
  <si>
    <t>17.02. Акт 349 кв.70. На 1 этаже нет двери. Дверь установлена</t>
  </si>
  <si>
    <t>05.02. Акт 263 кв.40. Нет воды в квартире. Осмотрено, требуется замена кранов на стояке</t>
  </si>
  <si>
    <t>06.02. Акт 267 Плановый осмотр подвалов. Подвалы осмотрены, нарушений рабюоты систем водоснабжения, отопления и канализации не обнаружено</t>
  </si>
  <si>
    <t>11.02. Акт 295 кв.40. Замена кранов хвс в ванной. Остановка воды по стояку, демонтаж старых кранов, установка новых кранов, запуск воды по стояку</t>
  </si>
  <si>
    <t>12.02. Акт 307 Засор канализации в подвале. Прочищено по лежаку, по остальным системам нарушений работы не обнаружено</t>
  </si>
  <si>
    <t>13.02. Акт 319 кв.64. Не поступает вода в сливной бпчок, осмотрено, засор крана на стояке, прочищено тросиком</t>
  </si>
  <si>
    <t>14.02. Акт 330 кв.49. Топят соседи сверху. Хозяев кв 63 нет дома, хвс на кв.21,34,49,63, перекрыта по стояку</t>
  </si>
  <si>
    <t>15.02. Акт 345 кв.64 В сливной бачок не поступает вода, прочищен клапан</t>
  </si>
  <si>
    <t>15.02. Акт 333 кв.63 Течь трубы в ванной, осмотрено, требуется замена смесителя на кухне, подача хвс на 63 квартиру перекрыта</t>
  </si>
  <si>
    <t>15.02. акт 337 кв.69. Установка водосчетчика. Водосчетчик установлен.</t>
  </si>
  <si>
    <t>19.02. акт 379 кв.69. Нет воды, устранено, прочищен кран на стояке</t>
  </si>
  <si>
    <t>26.02. Акт 434 кв.49. Топят соседи сверху. Осмотрено в кв.63 перекрыты краны хвс и гвс</t>
  </si>
  <si>
    <t>07.02. Акт 277 Заменить лампочки при входе, замена лампочек 3шт, ремонт светильника</t>
  </si>
  <si>
    <t>10.02. Акт 291 кв.49. Нет света в подъезде. Замена лампочек 10 шт, замена настенного патрона</t>
  </si>
  <si>
    <t>17.02. Акт 348 кв.70. на 1 этаже нет света. Замена лампочек 3шт</t>
  </si>
  <si>
    <t>21.02. Акт 391 кв.64. Нет света в общем коридоре, правое крыло. Замена лампочек 6 шт</t>
  </si>
  <si>
    <t>25.02. Акт 421 кв.66. Нет света в квартире, осмотрено с автоматов в щите напряжение в квартиру уходит</t>
  </si>
  <si>
    <t>27.02. акт 448 кв.49. Нет света в квартире. Осмотрено, выбило автомат, включение автомата</t>
  </si>
  <si>
    <t>28.02. Акт 467 кв.50. Нет света в квартире. Осмотрено, выключены автоматы в щите, автоматы включены</t>
  </si>
  <si>
    <t>14.03. Акт 605 Очистка водостоков. Осмотрено</t>
  </si>
  <si>
    <t>18.03. Акт 656 кв.62. В кухне с потолка капает, балкон течет, в коридоре бежит вода. Осмотрено, протекает кровля на крыше, из-за таяния снега ремонт невозможен</t>
  </si>
  <si>
    <t>21.03. Акт 675 Очистка козырьков ложжий 5 этажа с вышки, произведен сброс снега с козырьков 5 этажа.</t>
  </si>
  <si>
    <t>25.03. Акт 704 кв 68,65. Застеклить балконную дверь. Произведена установка стекла на балконную дверь 5-го этажа</t>
  </si>
  <si>
    <t>28.03. Акт 738 кв.60. Протекает кровля в ванной, осмотрено, ремонт невозможен из-за большого слоя льда</t>
  </si>
  <si>
    <t>29.03. акт 755 Плановый осмотр подвалов, осмотрено, нарушений работы систем в подвалах не обнаружено</t>
  </si>
  <si>
    <t>01.03. Акт 473 кв.39. Течь батареи отопления в зале. Отключение отопительного прибора от стояка, установка перемычки</t>
  </si>
  <si>
    <t>01.03. Акт 483 кв.25. Шум в батарее отопления, осмотрено сети отопления в подвале</t>
  </si>
  <si>
    <t>06.03. Акт 533 кв.39. Перекрыть стояк отопления. Перекрыл и открыл стояк отопления</t>
  </si>
  <si>
    <t>01.03. Акт 476 кв.64. Не поступает вода в смывной бачок, прочищена гибкая подводка</t>
  </si>
  <si>
    <t>11.03. Акт 574 На 4 этаже нет света, замена лампочек 3 шт</t>
  </si>
  <si>
    <t>20.03. Акт 666 кв.70. на 1 этаже нет светат. Замена лампочек 3 шт</t>
  </si>
  <si>
    <t>21.03. акт 680 кв.5. Закрыть щитовую на площадке, ремонт замка, закрыл щит</t>
  </si>
  <si>
    <t>27.03. Акт 726 кв.44. Нет света в квартире, ложный вызов</t>
  </si>
  <si>
    <t>06.03. Акт 532 кв.69. В коридоре выключателя нет, установка выключателя 11.03.</t>
  </si>
  <si>
    <t>27.03. акт 721 кв.64, поставить выключатель рядом с дверью. Установка выключателя</t>
  </si>
  <si>
    <t>31.03. Акт 768 кв.37. Нет света на 2,3,4 этажах. По лестничной клетке, замена лампочек 3шт</t>
  </si>
  <si>
    <t>31.03. Акт 763 кв.44. Бежит вода с крыши на 5 этаж, затем на 4. Осмотрено, пока не растает лед- ремонт не возможен</t>
  </si>
  <si>
    <t>01.04. Акт 770 кв.23. Засор канализации (вода не уходит в унитазе), засор по стояку, прочищено</t>
  </si>
  <si>
    <t>04.04. Акт 805 Плановый осмотр подвалов. В подвале сухо</t>
  </si>
  <si>
    <t>05.04. Акт 819 кв.37. Подтекает кран в ванной. Осмотрено, заменили смеситель сами</t>
  </si>
  <si>
    <t>06.04. Акт 903 кв 16. Установить счетчик на воду, нет дома, отказ</t>
  </si>
  <si>
    <t>09.04. Акт 844 кв.23 Из сливного бачка непрерывно бежит вода. Заело клапан, устранено</t>
  </si>
  <si>
    <t>23.04. Акт 973 Плановый осмотр подвалов. Нарушений работы подвальных коммуникаций не обнаружено</t>
  </si>
  <si>
    <t>10.04. Акт 862 кв.50. Подтекает кран на стояке, произведена замена сальниковой подмотки</t>
  </si>
  <si>
    <t>15.04. Акт 925 кв.29. Бежит стояк хвс, устранено, замена стояка 4м</t>
  </si>
  <si>
    <t>20.04. акт 950 кв.42 Поставить унитаз, осмотрено, ставят сами</t>
  </si>
  <si>
    <t>01.04. Акт 776 кв.64. Со 2 по 5 этаж нет света на лестничной клетке, замена лампочек 5 шт, на 5 этаже требуется замена светильника</t>
  </si>
  <si>
    <t>05.04. Акт 821 кв.46. Лампочки перегорели. Замена лампочек</t>
  </si>
  <si>
    <t>08.04. Акт 837 кв 46,70. Нет света в подъезде. Замена лампочек 15 шт, установка настенного патрона 1 шт, выключателя 1 шт</t>
  </si>
  <si>
    <t>15.04. Акт 989а кв.50. Сломан выключатель в коридоре. Ремонт выключателя</t>
  </si>
  <si>
    <t>16.04. Акт 915 кв.15. Свет в квартире отключается, через несколько минут включается. Замена автомата 40А 1шт</t>
  </si>
  <si>
    <t>24.04. Акт 987 кв.51. Пол квартиры нет э/э. Осмотрено, замкнула эллампочка в квартире выбило автомат</t>
  </si>
  <si>
    <t>25.04. Акт 992 кв.47. Отгорел провод на автомате. Ревизия щита, замена провода 1 м</t>
  </si>
  <si>
    <t>29.04. Акт 1023 кв.60. Искрит проводка, нет света в коридоре и туалете. Осмотрено, со щита напряжение на квартиру поступает, дома никого нет</t>
  </si>
  <si>
    <t>29.05. Акт 1209а Открыть подвальные окна. Окна открыты</t>
  </si>
  <si>
    <t>06.05. Акт 1062 Плановый осмотр подвалов. Нарушений работы подвальных коммуникаций не обнаружено</t>
  </si>
  <si>
    <t>08.05. Акт 1086 Осмотр внутренних сливов, инжененрных сетей. Осмотрено</t>
  </si>
  <si>
    <t>20.05. Акт 1169 Плановый осмотр пожвалов. Осмотрено в подвале сухо.</t>
  </si>
  <si>
    <t>21.05. Акт 1184 кв.69. Заменить смеситель. Устранено, произведена замена смесителя</t>
  </si>
  <si>
    <t>26.05. Акт 1219 кв.7 В ванной потекла труба, лопнула. Осмотрено, нужна замена тройника д 50 перед унитазом</t>
  </si>
  <si>
    <t>04.05. Акт 1043 кв.60. Отгорели провода идущие от счетчика в квартиру. Осмотрено 6.05., напряжение со щита в квартиру уходит, дома нет никого</t>
  </si>
  <si>
    <t>21.05. Акт 1225 кв.70. Нет света в коридоре. Замена лампочек</t>
  </si>
  <si>
    <t>27.05. Акт 1222 кв.70. Не работает патрон в тамбуре. Осмотрено патронт в исправном состоянии</t>
  </si>
  <si>
    <t>29.05. Акт 1243 кв.32 Не горит свет в туалете. Осмотрено был выключен выключатель на светильнике</t>
  </si>
  <si>
    <t>03.07.Акт 1455 кв.31 . Течет вода в туалете от душевой кабины. Осмотрено, необходима замена сифона душа и прочистка местной канализации</t>
  </si>
  <si>
    <t>10.07.Акт 1490 Засор канализации, прочищено</t>
  </si>
  <si>
    <t>15.07. Акт 1510 Засор канализацию, прочищено тросом из подвала до колодца</t>
  </si>
  <si>
    <t>18.07. Акт 1530  Засор канализации. Прочищено тросом из колодца до подвала</t>
  </si>
  <si>
    <t>23.07.Акт 1559 кв.70 Засор кухонной канализации (местная), устранено, прочищено до стояка</t>
  </si>
  <si>
    <t>24.07. Акт 1560 Засор канализации в подвале, устранено</t>
  </si>
  <si>
    <t>29.07.Акт 1584 кв.61 Ремонт системы каналдизации в квартире. Осмотрено, требуется замена сифона на кухне, замена арматуры сливного бачка</t>
  </si>
  <si>
    <t>01.07.Акт 1434 кв.18. Нет света на 2 этаже. Замена 4 лампочек</t>
  </si>
  <si>
    <t>03.07.Акт 1459 кв.10. В эл.щите отгорает провод. Протянуты контакты автомата</t>
  </si>
  <si>
    <t>08.07.Акт 2490 кв.51. В квартире нет света. Осмотрено, выбило вставку во вводном щите, сгорел автомат !))А</t>
  </si>
  <si>
    <t>08.07.Акт 1482 кв 26,67,68,37 Нет света в квартирах. Произведена замена автомата 160А</t>
  </si>
  <si>
    <t>13.08.Акт 1678 кв.18. Не горят лампочки на 2 этаже. Замена лампочек 1 шт, ремонт патрона</t>
  </si>
  <si>
    <t>15.08.Акт 1690 кв.30. В квартире нет света. Осмотрено, украли счетчика из щита. Щит закрыт на замок.</t>
  </si>
  <si>
    <t>16.08.Акт 1693 кв.42. Течь воды из шланга унитаза, образование конденсата на бачке и трубах хвс. Требуется замена стояка хвс</t>
  </si>
  <si>
    <t>22.08.Акт 1702 Засор канализации в подвале, осмотрено забита до колодца, пробивка тросом из подвала до колодца</t>
  </si>
  <si>
    <t xml:space="preserve">23.08.Акт 1705 кв.70. Не поступает вода в сливной бачок.Нет дома,  Устранено </t>
  </si>
  <si>
    <t>27.08.Акт 1733 Подвал. Стоит канализация. Пробивка тросом из подвала до колодца, посторонние предметы (тряпки)</t>
  </si>
  <si>
    <t>30.08.Акт 1771 кв.11. В туалете капает вода из шланга, осмотрено</t>
  </si>
  <si>
    <t>04.08.Акт 1629 кв.37. Топят соседей. Устранено, сорвало кран буксу гна смесителе в кухне. Нужна замена, временно перегнул гибкую подводку</t>
  </si>
  <si>
    <t>09.08.Акт 1657 кв.18. Засор в мойке на кухне - не уходит вода. Устранено</t>
  </si>
  <si>
    <t>20.08.Акт 1685 кв.55. Нет света в подъезде. Замена лампочек 5 шт</t>
  </si>
  <si>
    <t>23.08.Акт 1719 кв.20. В счетчике нужно сделать демонтаж. Переключение провода на автоматы</t>
  </si>
  <si>
    <t>21.08. Акт 1698 кв.64. Нет света на лестнице, замена лампочек 3 шт</t>
  </si>
  <si>
    <t>28.08.Акт 1739 кв.37. 3 этаж правое крыло нет света, замена лампочек 5 шт</t>
  </si>
  <si>
    <t>23.09.Акт 1945 подвал. Закрытие подвальных окон</t>
  </si>
  <si>
    <t>24.09.Акт 1967 ка.2. Подтекает батарея. Осмотрено, течь не обнаружена, заменчаний нет</t>
  </si>
  <si>
    <t>11.09.Акт 1852 кв.42. Установить водонагреватель, установка водонагревателя, смесителя</t>
  </si>
  <si>
    <t>12.09.Акт 1861  Плановый осмотр подвальных помещений. Осмотрено, нарушений работы подвальных коммуникаций не обнаружено</t>
  </si>
  <si>
    <t>18.09.Акт 1899 Подвал. Пробивка канализации. Пробивка  тросом выпуска канализации из подвала до колодца</t>
  </si>
  <si>
    <t>19.09.Акт 1916 Засор канализации в подвале. Прочищено тросом из колодца до подвала</t>
  </si>
  <si>
    <t>29.09.Акт 2033  кв.9. Засор в ванной. Не работает домофон в квартире. Устранено, прочищена местная канализация</t>
  </si>
  <si>
    <t>03.09.Акт 1779 кв.5. Очень низкое напряжение на квартиру. Установка СЖИм 1 шт</t>
  </si>
  <si>
    <t>11.09.Акт 1875 кв.42. Подключить водоподогреватель. Подключение водоподогревателя</t>
  </si>
  <si>
    <t>11.09.Акт 1853  кв.42. Нет света в коридоре, замена 2 ламп</t>
  </si>
  <si>
    <t>12.09.Акт 1871 кв.70. На 1 этаже нет света. Замена лампочек 2шт</t>
  </si>
  <si>
    <t>18.09.Акт 1933 кв.55. Нет света на 4 этаже в коридоре. Замена лампочек 3 шт, ремонт плафона</t>
  </si>
  <si>
    <t>20.09.Акт 1929 кв.55. Нет света в коридоре. Замена лампочек 4 шт</t>
  </si>
  <si>
    <t>23.09.Акт 1951 кв.17. Частично нет э/э в квартире. Осмотрено, замкнуло лампочку, выбило автомат, включение автомата</t>
  </si>
  <si>
    <t>25.06. Акт 68 Заменить кран на стояке, кран заменен</t>
  </si>
  <si>
    <t>28.06.Акт 1421 кв.23. На кухне плохой напор. Течь крана на стояке  устранена</t>
  </si>
  <si>
    <t>11.10.Акт 2167 кв.39. Засор канализации в ванной, канализация пробита 3 м</t>
  </si>
  <si>
    <t>13.10.Акт 2184 кв.69. Не держит кран на кухне, произведена замена, сальниковой подмотки на вентиле по стояку хвс</t>
  </si>
  <si>
    <t>16.10.Акт 2197 кв.69. Замена кранов на стояке, произведена замена кранов 2 шт на стояках</t>
  </si>
  <si>
    <t>28.10.Акт 2279 нет светат в тамбуре и на площадке 1 этажа, замена 2х лампочек</t>
  </si>
  <si>
    <t>10.10.Акт 2153 кв.27. Отключить воду. Вода отключена , вода включена</t>
  </si>
  <si>
    <t>11.10.Акт 2160 Осмотр подвальных помещений, нарушений работы подвальных коммуникаций не обнаружено</t>
  </si>
  <si>
    <t>29.11.Акт 2733 кв.10. Разбито стекло в общем коридоре, устранено застеклили поликарбонатом</t>
  </si>
  <si>
    <t>27.11. Акт2677 кв.66 Холодные батареи в комнате. Осмотрено, отсоединен один отопительный прибор, бесполезно</t>
  </si>
  <si>
    <t>31.10.Акт 2310 кв.9. Течь стояка хвс в туалете, осмотрено, требуется замена</t>
  </si>
  <si>
    <t>01.11. Акт 2310. Заменили стояк 3п.м.хвс</t>
  </si>
  <si>
    <t>03.11.Акт 2322 Засор центральной системы, прочищено тросом от колодца до колодца</t>
  </si>
  <si>
    <t>08.11.Акт 2463 Плановый осмотр подвала. Осмотрено, нарушений работы подвальных коммуникаций не обнаружено</t>
  </si>
  <si>
    <t>12.11.Акт 2514 кв.64. Течь крана на стояке. Поставлена заглушка</t>
  </si>
  <si>
    <t>15.11.Акт 2556 Плановый осмотр канализации. Осмотрено, замечаний нет</t>
  </si>
  <si>
    <t xml:space="preserve">18.11. Акт 2579 кв.66. Плохой напор воды в квартире, холодные батареи, обследовано: прощищен вводной кран, напор воды восстановлен, </t>
  </si>
  <si>
    <t>19.11.Акт 2583 Плановый осмотр подвала, замечаний нет</t>
  </si>
  <si>
    <t>20.11. Акт 2595 Плановый осмотр подвалов. Осмотрено, течи нет</t>
  </si>
  <si>
    <t>18.11. Акт 2629 кв.66. Поставить кран, устранено установлен кран на стояк</t>
  </si>
  <si>
    <t>25.11. Акт 2636 Плановый осмотр подвалов, осмотрено, замечаний нет</t>
  </si>
  <si>
    <t>27.11. Акт 2669 Плановый осмотр подвалов. Осмотрено, течи нет</t>
  </si>
  <si>
    <t>27.11. Акт 2676 кв.25. В ванной из трубы подтекает вода, осмотрено, требуется замена канализации</t>
  </si>
  <si>
    <t>28.11. Акт 2710 кв.66. Заменить кран на кухне, устранено, кран заменен</t>
  </si>
  <si>
    <t>28.11. Акт 2711 кв.25.Требуется замена канализации, устранено канализация заменена</t>
  </si>
  <si>
    <t>05.11. Акт 2327 кв.2. Нет света 1 этаж, замена 2 лампочек</t>
  </si>
  <si>
    <t>06.11. Акт 2343 кв.61 В квартире нет э/э, частично, устранено, включены автоматы</t>
  </si>
  <si>
    <t>08.11. Акт 2546 кв.2. Закрепить патрон на стене. Установка настенных патронов 2 шт, лампочек 2 шт</t>
  </si>
  <si>
    <t>10.11. Акт 2494 кв 18,2, нет э/э в квартире, замена автомата 25А</t>
  </si>
  <si>
    <t>10.11. Акт 2493 кв.29. Нет э/э в квартире, замена автоматов 200 А на 1 этаже</t>
  </si>
  <si>
    <t>12.11. Акт 2547. Нет света в общ.коридоре. Замена лампочек 8шт</t>
  </si>
  <si>
    <t>14.11. Акт 2545 кв.2. Нет света 1 этаж, замена 2х лампочек</t>
  </si>
  <si>
    <t>19.11. Акт 2590 кв.14. Сгорели автоматы, нет света, замена автомата 25А -1шт</t>
  </si>
  <si>
    <t>28.11. Акт 2721 кв.55. Нет света 2,3 этажи, замена лампочек 5 шт</t>
  </si>
  <si>
    <t>24.12. Акт 24.12. Акт 2971. Оторван шарнир верхний на домофонной двери. Устранено, произвели переустановку навесов.</t>
  </si>
  <si>
    <t>02.12. Акт 2744 кв.66. Холодная батарея отопления. Устранено, изменена схема подключения отопительного прибора</t>
  </si>
  <si>
    <t>06.12. Акт 2790 кв.19. Холодная батарея отопления на кухне. Обследовано, стояк не перепускается</t>
  </si>
  <si>
    <t>10.12.Акт 2823 кв.19. Холодная батарея отопления на кухне. Обследованы квартиры по стояку,  в кв.№62 врезка в систему отопления, составлен акт</t>
  </si>
  <si>
    <t>11.12. Акт 2838 кв.61. Холодные батареи в комнате. Перепущен стояк</t>
  </si>
  <si>
    <t>13.12. Акт 2881 кв.55. Холодная батарея в зале. Осмотрено, батарея горячая</t>
  </si>
  <si>
    <t xml:space="preserve">16.12. Акт 2883 кв.62. Замена отопительного прибора. Произведен демонтаж отопительного прибора, замена на алюминий, Отключение и подключение стояка, </t>
  </si>
  <si>
    <t>16.12. Акт 2901 кв.19. Холодная батарея на кухне. В течение дня дважды пытались попасть в квартиру</t>
  </si>
  <si>
    <t>06.12. Акт 2776 Плановый осмотр подвалов, осмотрено замечаний нет</t>
  </si>
  <si>
    <t>08.12. Акт 2794 Плановый осмотр подвалов . Осмотрено, замечаний нет</t>
  </si>
  <si>
    <t>11.12. Акт 2827 Осмотр подвалов, осмотрено, замечаний нет</t>
  </si>
  <si>
    <t>12.12. Акт 2840 Осмотр подвалов, осмотрено, замечаний нет</t>
  </si>
  <si>
    <t>17.12. Акт 2895 кв.42. Не поступает вода в сливной бачок, прочистка гибкой подводки, регулировка клапана</t>
  </si>
  <si>
    <t>20.12. Акт 2925Плановый осмотр подвалов.Осмотрено, замечаний нет</t>
  </si>
  <si>
    <t>20.12. Акт 2030 кв.11. Засор канализации. Прочищен унитаз вантузом</t>
  </si>
  <si>
    <t>22.12. Акт 2936 кв.61  Не поступает вода в сливной бачок, устранено</t>
  </si>
  <si>
    <t>23.12. кв.12. Закрыл и открыл стояк</t>
  </si>
  <si>
    <t>23.12. Акт 2952 Плановый осмотр подвалов, осмотрено, течи нет</t>
  </si>
  <si>
    <t>27.12. Акт 2909 Плановый осмотр подвалов, осмотрено, течи нет</t>
  </si>
  <si>
    <t>30.12. Акт 2931 Плановый осмотр подвалов, осмотрено, течи нет</t>
  </si>
  <si>
    <t>15.12. Акт 2869 кв 67,68. Нет света в квартире. Осмотрено, при замене розетки замкнули провода в кв 68, сгорела вставка</t>
  </si>
  <si>
    <t>15.12. Акт 2868 кв.38. Нет света к вартире, осмотрено, сгорела вставка в щитовой, замена вставки 100А</t>
  </si>
  <si>
    <t>17.12. Акт 2894 нет света в коридоре. Замена лампочек 4 шт</t>
  </si>
  <si>
    <t>20.12. Акт 2915 кв.55. Нет света в тамбуре, замена лампочек 6 шт</t>
  </si>
  <si>
    <t>23.12. Акт 2954 кв.53. Нет света в квартире. Осмотрено, отгорел провод где-то в квартире</t>
  </si>
  <si>
    <t>25.12. Акт 2984 кв.41. Не горит свет в коридоре на 3 этаже. Замена лампочек 4 шт</t>
  </si>
  <si>
    <t>работа автовышки 2 часа</t>
  </si>
  <si>
    <t>Выкос травы на преддомовой территории</t>
  </si>
  <si>
    <t>17.01. Акт 114 кв.3. Не щакрывается дверь в подвал. Ремонт двери подвала</t>
  </si>
  <si>
    <t>29.01.Акт 221 кв.13. Не работает вентиляция. Прочищено</t>
  </si>
  <si>
    <t>15.01. Акт 92 кв 53,56. Запах  канализации, устранено, добавили трубу, прочистили кружак</t>
  </si>
  <si>
    <t>21.01. Запуск в эксплуатацию водосчетчика</t>
  </si>
  <si>
    <t>04.01.Акт 14 4 подъезд. На всех этажах нет света, замена лампочек 4 шт</t>
  </si>
  <si>
    <t>06.01.Акт 24 кв.60. Нет света в 6 подъезде. Ремонт выключателя</t>
  </si>
  <si>
    <t>08.01.Акт 30 кв.46 Заменить автомат в щитке, замена автомата 25А</t>
  </si>
  <si>
    <t>21.01.Акт 138а 1 подъезд. В маленьком тамбуре оголенный провод болтается от стены до пола, замена выключателя</t>
  </si>
  <si>
    <t>29.01.Акт 211 2 подъезд, нет света Замена лампочек 5 шт</t>
  </si>
  <si>
    <t>30.01.Акт 213 Плановый осмотр, нарушений работы систем водоснабжения, отопления, канализации  не обнаружено</t>
  </si>
  <si>
    <t>22.02. Акт 395 кв.16. Не работает сливной бачок, замена арматуры в сливном бачке</t>
  </si>
  <si>
    <t>22.02. Акт 408 кв.60. Нет света на 5 этаже, замена лампочек 2 шт</t>
  </si>
  <si>
    <t>26.02. Акт 431 кв.51, нет света на 1 этаже. Замена лампочек 1 шт</t>
  </si>
  <si>
    <t>28.02. Акт 460 нет света в подъездах. Замена лампочек 8 шт</t>
  </si>
  <si>
    <t>11.03. Акт 571 кв.17. Подтекает кран в ванной, осмотрено, нужна замена кранбуксы в ванной на смесителе</t>
  </si>
  <si>
    <t>24.03. Акт 702 кв.28. На кухне бежит стояк, устранено, закрыл кран, нужна замена смесителя</t>
  </si>
  <si>
    <t>11.03. Акт 567 Нет света 3 подъезд, замена лампочек 3 шт</t>
  </si>
  <si>
    <t>12.03. Акт 595 3 подъезд - 5 этаж, 2 подъезд 3 этаж нет света. Замена лампочек</t>
  </si>
  <si>
    <t>29.04. Акт 1027 кв.59. В комнате холодная батарея, осмотрено установлен на отопительном приборе кран Маевского</t>
  </si>
  <si>
    <t>02.04. Акт 781 4 подвал, в подвал идет вода, осмотрено, течь канализации, проведена прочистка лежака</t>
  </si>
  <si>
    <t>04.04.Акт 801. Осмотр подвалов, в подвале сухо</t>
  </si>
  <si>
    <t>14.04.Акт 893 кв.1. В подвале из трубы течет вода. Осмотрено, сорвало кран на отоплении, кран заменен</t>
  </si>
  <si>
    <t>21.04. Акт 953 во 2 подвале бежит вода, прочищено</t>
  </si>
  <si>
    <t>02.04. Акт 782 кв.51. Нет света у подъезда, замена лампочек 2 шт</t>
  </si>
  <si>
    <t>05.04. Акт 817. Нет света. Замена лампочек 6 шт</t>
  </si>
  <si>
    <t>17.04. Акт 918 нет света п одъездах, замена 6 лампочек</t>
  </si>
  <si>
    <t>28.04. Акт 1019 кв.51. Перед подъездом и на 2 этаже нет света, замена лампочек</t>
  </si>
  <si>
    <t>29.04. Акт 1026 кв.59, нет света в подъездах, замена лампочек 10шт</t>
  </si>
  <si>
    <t>29.05.Акт 1246. Открыть подвальные окна. Окна открыли</t>
  </si>
  <si>
    <t>27.05. Акт 1233. Закрыть вводные задвижки на дома, закрыто</t>
  </si>
  <si>
    <t xml:space="preserve">05.05.Акт 1044 кв.55. В кухне течет вода с потлка топит 58 квартира, перекрыл стояк </t>
  </si>
  <si>
    <t>05.05. Акт 1047 кв.58. Стоит вода в ванной туалете, устранено был забит тройник на центральном стояке канализации</t>
  </si>
  <si>
    <t>06.05. Акт 1058 Осмотр подвалов, нарушений работы подвальных коммуникаций не обнаружено</t>
  </si>
  <si>
    <t>07.05. Акт 1077 кв.16. В подвале течет труба, осмотрено, прочищен канализационный стояк</t>
  </si>
  <si>
    <t>08.05. Акт 1084 Плановый осмотр сетей осмотрено, замечаний нет</t>
  </si>
  <si>
    <t>13.05. Акт 1133 кв.35. Обрезать змеевик в ваной. Осмотрено, составлен дефектный акт</t>
  </si>
  <si>
    <t>20.05. Акт 1168.Плановый осмотр подвалов, осмотрено в подвалах сухо</t>
  </si>
  <si>
    <t>10.05. Акт 1112,1111,1110 кв.5,42,24. Нет электроэнергии в квартире, устранено, нет напряжения с подстанции, перекинул дом на резервный кабель</t>
  </si>
  <si>
    <t>22.05. акт 1193 кв.1. Поставить розетку в спальне, замена розетки</t>
  </si>
  <si>
    <t>25.05. Акт 1216 кв.38. Нет света в квартире, осмотрено отгорел провод в квартире</t>
  </si>
  <si>
    <t>07.06. Акт 1295 кв.1. Открыть окна в подвале, устранено, окна открыты</t>
  </si>
  <si>
    <t>21.06. Акт 1383 кв.59. Поставить кран на батарею, осмотрено, нужен кран д15, бочонок д15, устранено, установили</t>
  </si>
  <si>
    <t>21.06. Акт 1384 кв.44. Течь прибора отопления. Устранено, затянул кран на батарее</t>
  </si>
  <si>
    <t>08.06. Акт1306, 1307 кв.14. Вода поступает периодично, осмотрено, причина не установлена 23-25</t>
  </si>
  <si>
    <t>08,06.Акт 1303 кв.3. В туалете и в ванной нет воды, осмотрено в подвале перекрыт стояк, где-то делают ремонт</t>
  </si>
  <si>
    <t>17.06. Акт1355 кв.16. Не поступает вода в сливной бак, устранено, прочистил клапан на унитаз</t>
  </si>
  <si>
    <t xml:space="preserve">17.06. Акт 1360 кв.43. Течь канализационного стояка в туалете, осмотрено , требуется замена стояка </t>
  </si>
  <si>
    <t>20.06. Акт 1360 кв.43. Замена стояка канализации</t>
  </si>
  <si>
    <t>01.07.Акт 1495 кв.55. В подвален льется вода. Устранено, прочищена центральная канализация</t>
  </si>
  <si>
    <t>26.07. Акт 1574 кв.51. 4 подъезд нет света, замена лампочек 3шт</t>
  </si>
  <si>
    <t>14.08. Акт 1685 кв.44. Отрезать кран от системы отопления. Кран с батареи демонтарован, установлена заглушка</t>
  </si>
  <si>
    <t>01.08.Акт 1618 кв.16. В сливной бачок не поступает вода. Произведена прочистка гибкой подводки</t>
  </si>
  <si>
    <t>01.08.Акт 1613 кв.22 Нет света по всему подъезду, замена лампочек 4 шт</t>
  </si>
  <si>
    <t>06.08.Акт 1643 кв.42. Нет света вподъезде. Замена лампочек 4 шт</t>
  </si>
  <si>
    <t>06.08.Акт 1641 кв.22. Сломан патрон  во 2 подъезде. Замена нстенного патрона 1 шт, замена лампочек 2 шт</t>
  </si>
  <si>
    <t>06.09.Акт 1833. Уборка помещений теплового узла</t>
  </si>
  <si>
    <t>23.09.Акт 1949 Закрытие окон в подвале</t>
  </si>
  <si>
    <t>12.09.Акт 1870 Проведение гидравлических испытаний системы отопления</t>
  </si>
  <si>
    <t>25.09.Акт 2011 кв.59. Кухня холодная Перепуск стояков</t>
  </si>
  <si>
    <t>02.09.Акт 1772 кв.16. Засорился унитаз, прочищено</t>
  </si>
  <si>
    <t>14.09.Акт 1881 кв.13. Нет светат в квартире. Замена 2х автоматов 25А</t>
  </si>
  <si>
    <t>16.09.Акт 1888 кв.1. Нет света на кухне и в спальне. Осмотрено, пользовались нагревателем, отгорел ноль в распредкоробке, потолок натяжной</t>
  </si>
  <si>
    <t>17.09.Акт 1932 4 подъезд, нет всета на лестнице. Замена лампочек 4 шт</t>
  </si>
  <si>
    <t>23.09.Акт 1979 кв.20. Не держит нагрузку автомат, замена автомата</t>
  </si>
  <si>
    <t>15.10.Акт 2190 кв.59 Холодная батарея в комнате. Перепуск стояка</t>
  </si>
  <si>
    <t>19.10.Акт 2244 кв.59. Холодная батарея в зале.Стояк перпущен, стояк прогрелся</t>
  </si>
  <si>
    <t>11.10.Акт 2163 Плановый осмотр помещений, осмотрено, нарушений работы подвальных коммуникаций не обнаружено</t>
  </si>
  <si>
    <t>10.10.Акт 2166 кв.2. Выбивает автомат. Замена автоматов 25А-2шт</t>
  </si>
  <si>
    <t>05.11. Акт 2329. Перепуск стояков отопления в 4 подвале</t>
  </si>
  <si>
    <t>06.11. Акт 2342 ,2344кв.1. Засор канализации в подвале, устранено, прочищено, инородные предметы ( капуста)</t>
  </si>
  <si>
    <t>08.11. Акт 2460 Плановый осмотр подвалов, осмотрено, замечаний нет</t>
  </si>
  <si>
    <t>12.11. Акт 2503. Плановый осмотр систем канализации в подвале. Осмотрено, установлена заглушка на ревизии</t>
  </si>
  <si>
    <t>22.11. Акт 2613 кв.37. Засор унитаза, прочищено</t>
  </si>
  <si>
    <t>27.11.Акт 2668 Плановый обход подвальных коммуникаций, осмотрено протечек коммуникаций не обнаружено</t>
  </si>
  <si>
    <t>28.11. Акт 2718 кв.55. Не поступает вода в смывной бачок, осмотрено забит центральный отвод хвс, для устранения засора нужно разобрать короб.</t>
  </si>
  <si>
    <t>03.11. Акт 2336 4 подъезд. На крыльце перегорела лампочка, требуется замена патрона в светильнике, устранено, замена лампочки</t>
  </si>
  <si>
    <t>08.11. Акт 2477 кв.43. Нет света в подъезде. В подъезд не пустили</t>
  </si>
  <si>
    <t>12.11. Акт 2522 кв.22. Слышен треск в щитовой. Осмотрено, сгорел автомат, установка автомата 25А</t>
  </si>
  <si>
    <t>14.11. Акт 2542 кв.13. Нет э/э в квартире. Осмотрено, напряжение в квартиру поступает, щит в рабочем состоянии</t>
  </si>
  <si>
    <t>18.11. Акт 2575 кв.13. Нет э/э в квартире. Штрабление штукатурки, прокладка кабеля АВВГ 2 м</t>
  </si>
  <si>
    <t>20.11. Акт 2661 кв.49. Нет света в подъезде. Замена 3х лампочек</t>
  </si>
  <si>
    <t>27.11. Акт 2679 кв.13. Нет света в квартире. Осмотрено отгорел провод в квартире под штукатуркой</t>
  </si>
  <si>
    <t>31.12. Акт 2955 кв.59. Холодные батареи. Перепуск стояков</t>
  </si>
  <si>
    <t>06.12. Акт 2783 Плановый осмотр подвалов. Осмотрено, засора канализации нет</t>
  </si>
  <si>
    <t>10.12. Акт 2818 кв.55. Не поступает вода в сливной бачок. Прочистка отвода от стояка до крана 11.12.</t>
  </si>
  <si>
    <t>11.12. Акт 2823 Плановый осмотр подвалов. Осмотрено, замечаний нет</t>
  </si>
  <si>
    <t>20.12. Акт 2923 Плановый осмотр подвалов, осмотрено замечаний нет</t>
  </si>
  <si>
    <t>23.12. Акт 2948 Плановый осмотр подвалов, осмотрено, течи нет</t>
  </si>
  <si>
    <t>27.12. Акт 2913. Плановый осмотр подвалов, осмотрено, обнаружена капельная течь чугунных задвижек и заменен кран на спускнике</t>
  </si>
  <si>
    <t>30.12. Акт 2928 Плановый осмотр подвалов. Осмотренно, замечаний нет</t>
  </si>
  <si>
    <t>02.12. Акт 2720 кв.42. Нет света в подъезде. Замена лампочек 1 шт</t>
  </si>
  <si>
    <t>04.12. Акт 2772 кв.50. Искрит выключатель при включении, осмотрено, требуется замена</t>
  </si>
  <si>
    <t xml:space="preserve">05.12. Акт 2774 кв.50. Замена выключателя </t>
  </si>
  <si>
    <t>11.12. Акт 2834 кв.49 Нет света в подъезде. Замена лампочек 2 шт</t>
  </si>
  <si>
    <t>28.12. Акт 2934 кв.51. Нет света в подъезде. Замена лампочек 3 шт</t>
  </si>
  <si>
    <t>03.03.Акт 648 кв.22. В квартире частично нет света. Осмотрено, требуется замена автоматов, временно устранил</t>
  </si>
  <si>
    <t>04.03. Акт 648 кв.22 Замена автоматов  25А 3 шт</t>
  </si>
  <si>
    <t>25.12. Акт 2985  1 и 2 подъезд нет света. Замена лампочек 10 шт</t>
  </si>
  <si>
    <t>25.10.Акт 1304 кв.18. Забита вытяжная вентиляция. Прочитска вентиляции по всему дому</t>
  </si>
  <si>
    <t>13.06. Акт 1336 2 подвал. Стоит вода в подвале. Осмотрено, грунтовая, постепенно уходит</t>
  </si>
  <si>
    <t>07.05. Акт 1067. Плановый осмотр подвалов. Осмотрено, вода в подвале под первую ступеньку</t>
  </si>
  <si>
    <t>07.03. Акт 545 Плановый осмотр подвалов. Осмотрено, течи нет</t>
  </si>
  <si>
    <t>22.04.Акт 965 Плановый осмотр подвалов. Грунтовые воды стоят на уровне фундамента</t>
  </si>
  <si>
    <t>18.04. Акт 935 Осмотр подвалов. Во всех подвалах стоит вода на 10-15 см</t>
  </si>
  <si>
    <t>08.04. Акт 839а Осмотр подвалов. Осмотрены подвалы, во всем доме воды нет, течей нет</t>
  </si>
  <si>
    <t xml:space="preserve">выполненных работ по управлению и обслуживанию ООО "МУК"  общежития </t>
  </si>
  <si>
    <t xml:space="preserve"> по улице  Пушкина  №6а за 2013 год</t>
  </si>
  <si>
    <t>15.01.Акт 91 к521. Течет вода с крыши через трубу. Осмотрено, устранено, запнил пеной</t>
  </si>
  <si>
    <t>18.01. Акт 130. Сломана входная дверь. Выполнение сварочных работ</t>
  </si>
  <si>
    <t>21.01. Акт 280 к 517. Не греет батарея. Обследовано 7.02. неравномернопрогреваются приборы из-за отсутствия крана Маевского</t>
  </si>
  <si>
    <t>02.01.Акт 4 пенс. Фонд. Топят сверху. Осмотрено, отключен сливной бачок, требуется замена клапана</t>
  </si>
  <si>
    <t>10.01.Акт 47 Плановый осмотр подвалов. Произведен осмотр подвалов, нарушений работы системы водоснабжения и отопления не обнаружено</t>
  </si>
  <si>
    <t>11.01.Акт 64 к 207. Засор канализации. Засор центрального стояка, засор лежака, устранено</t>
  </si>
  <si>
    <t>14.01.Акт 80а Засор канализации. Устранено, канализация прочищена</t>
  </si>
  <si>
    <t>15.01.Акт 86 Засор канализации, засор центральной системы канализации</t>
  </si>
  <si>
    <t>16.01.Акт 106 к 402. Не работает кран в мойке. Осмотрено, требуется замена смесителя. Смеситель заменен 22.01.</t>
  </si>
  <si>
    <t>21.01.Акт 136 к 201. Забит унитаз, плывет  сверху. Забита до центрального тройника, прочищено тросом</t>
  </si>
  <si>
    <t>21.01. Акт 145 к 201. Засор унитаза. Засор канализации</t>
  </si>
  <si>
    <t>28.01.Акт 198 юстиция. Топят соседи сверху. Осмотрено, топит душевая к 229-231, хозяев нет дома</t>
  </si>
  <si>
    <t>28.01.Акт 201 к 226. Плохой напор воды в мойке. Осмотрено, требуется замена разводки хвс.</t>
  </si>
  <si>
    <t>31.01.Акт 232 Плановый осмотр подвалов. Осмотрено, была забита канализация под юстицией, прочищено</t>
  </si>
  <si>
    <t>09.01.Акт 1857 от 29.12. Нет света на 5 этаже. Замена лампочек 6 шт</t>
  </si>
  <si>
    <t>06.01.Акт 27 к 414. Нет света в комнате. Замена кабеля 3 м, замена лампочек 6 шт</t>
  </si>
  <si>
    <t>11.01.Акт 63 пенс.фонд. В каб.11. искрит розетка.Осмотрено, требуется замена розетки</t>
  </si>
  <si>
    <t>14.01.Акт 74 пенс.фонд. Замена розетки</t>
  </si>
  <si>
    <t>18.01.Акт 126 к 521 Часто перегорают лампочки в коридоре и в мойке,, проводка в испраном состоянии, некачественные лампочки</t>
  </si>
  <si>
    <t>22.01.Акт 150 к 304, посмотреть патрон, не горит лампочка, осмотрено, плохой контакт в патроне, ремонт патрона</t>
  </si>
  <si>
    <t>23.01.Акт 158 к 302,303,304. В коридоре нет света. Устранил, замена лампочки</t>
  </si>
  <si>
    <t>23.01.Акт 159 к 203 на 2 этаже нет света, осмотрено, выключен основной автомат на этаже, включение автомата</t>
  </si>
  <si>
    <t>27.01.Акт 188 к 418 Искрят провода в комнате. Осмотрено, искрил провод от розетки, устранено</t>
  </si>
  <si>
    <t>28.01.Акт 196 вахта. Нет света на 1 этаже. Замена лампочек 3 шт</t>
  </si>
  <si>
    <t>31.01.Акт 230 Нет света на 3 этаже.Замена лампочек 3 шт</t>
  </si>
  <si>
    <t>07.02.Акт 280 к 517.Течь крыши. Проведено обследование совместно с представителями администрации</t>
  </si>
  <si>
    <t>18.02. Акт 356 Перед входом оторван щит . Устранено</t>
  </si>
  <si>
    <t>19.02.Акт 278 Отремонтировать входные двери. Устранено, дверь отремонтирована, установленаи пружина</t>
  </si>
  <si>
    <t>12.02.Акт 310 к 228 Забита канализация, прочищено</t>
  </si>
  <si>
    <t>14.02.Акт 331 к507-508 Забился душ. Прочищено</t>
  </si>
  <si>
    <t>14.02.Акт 329 к 228 Не уходит вода с унитаза. Прочищено тросом через унитаз до стояка</t>
  </si>
  <si>
    <t>15.02. к 226 Заменить центральный стояк, осмотрено, плановые работы будут проведены согласно плана</t>
  </si>
  <si>
    <t>15.02.Акт 341 к 226 Подтопление мойки. Прочищено тросом до центрального стояка</t>
  </si>
  <si>
    <t>16.02.Акт 347 к 206 Засор канализации в мойке, душе. Устранено</t>
  </si>
  <si>
    <t>19.02.Акт 367 к 223 В мойке бежит вода, осмотрено</t>
  </si>
  <si>
    <t>20.02. Акт 379 на 1 этаже правое крыло, оторвана сливная труба, на дверь повесить пружину. Устранено, стояк отремонтирован, пружина установлена</t>
  </si>
  <si>
    <t>27.02. Акт 441 Плановый осмотр канализации. Осмотрено, течи канализации не обнаружено</t>
  </si>
  <si>
    <t>01.02.Акт 243 к 329 Отходит розетка от стены. Устранили сами</t>
  </si>
  <si>
    <t>03.02.Акт 262 на вахте нет света, замена лампочек 2 шт</t>
  </si>
  <si>
    <t>05.02.Акт 265 к 519-520 Нет света в комнатах. Зымыкание провода в секции, соединение провода, установка СИЗ 2 шт</t>
  </si>
  <si>
    <t>07.02.Акт 278 к 505 левое крыло в коридоре нет света.Замена лампочек 1 шт</t>
  </si>
  <si>
    <t>08.02.Акт 287 к 303-304 Замкнул счетчик. Замыкание провода на розетку</t>
  </si>
  <si>
    <t>11.02.Акт 296 Нет света на лестничной площадке. Замена лампочек 3 шт</t>
  </si>
  <si>
    <t>18.02.Акт 355 На 1 этаже нет света, замена лампочек 3 шт</t>
  </si>
  <si>
    <t>19.02.Акт 376 к 336 Нет света в коридоре.Замена лампочек 3 шт</t>
  </si>
  <si>
    <t>21.02.Акт 388 Нет света на 1 этаже. Замена лампочек 1 шт</t>
  </si>
  <si>
    <t>21.02.Акт 392 к 430 Нет света в секции. Замена лампочек 8 шт на этажах</t>
  </si>
  <si>
    <t>25.02.Акт 418 Нет света на 1 этаже. Замена лампочек 2 шт</t>
  </si>
  <si>
    <t>28.02.Акт 465 к 223 В комнате нет света. Замкнуло переноску, выбило автомат, включение автомата</t>
  </si>
  <si>
    <t>11.02.Акт 301 к 534 Капает вода с потолка, обследовано, направлено письмо в администрацию</t>
  </si>
  <si>
    <t>21.03.Акт 687 к 435 Замена замка в комнате. Замок установлен</t>
  </si>
  <si>
    <t>21.03.Акт 677 к 420 Замена замка в комнате. Замок установлен</t>
  </si>
  <si>
    <t>13.03.Акт 598 к 226. Плохой напор в мойке. Устранено, прочищена гибкая подводка</t>
  </si>
  <si>
    <t>14.03.Акт 617 вахта, топят соседи сверху. Обследовано нужны ключи от 225 комнаты</t>
  </si>
  <si>
    <t>17.03.Акт 650 Топят соседи сверху. Засор канализации в мойке. Прочищено</t>
  </si>
  <si>
    <t>20.03.Акт 665 к 102 в унитазе стоит вода. Осмотрено, требуется замегна унитаза</t>
  </si>
  <si>
    <t>27.03.Акт 727 пен.фонд. Топят сверху. Осмотрено, перекрыт стояк к 213-216,217-220</t>
  </si>
  <si>
    <t>02.03.Акт 486 вахта. При входе в коридор нет света. Замена лампочек 2шт</t>
  </si>
  <si>
    <t>04.03.Акт 500 1 этаж нет света. Замена лампочек</t>
  </si>
  <si>
    <t>04.03.Акт 510 на 3 этаже нет света. Замена лампочек 1 шт</t>
  </si>
  <si>
    <t>06.03.Акт 526 к 231 В общем коридоре нет света. Замена лампочек 3 шт</t>
  </si>
  <si>
    <t>11.03.Акт 559 Нет света на 1 этаже. Замена лампочек 5 шт</t>
  </si>
  <si>
    <t>13.03.Акт 599 к 226. Заменить патрон в мойке. Ходил 2 раза, секцию не открыли</t>
  </si>
  <si>
    <t>16.03.Акт 635 к 525 Нет света 5 этаж. Замена лампочек 2 шт</t>
  </si>
  <si>
    <t>17.03.Акт 641 вахта, нет света при входе замена лампочек</t>
  </si>
  <si>
    <t>19.03.Акт 658 Нет света на крыльце, 3 этаж, замена лампочек 3 шт</t>
  </si>
  <si>
    <t>21.03.Акт 682 к 231. Посмотреть патрон в мойке. Замена патрона 1 шт</t>
  </si>
  <si>
    <t>24.03.Акт 698 Нет света в коридоре(вход).Замена лампочек 3 шт</t>
  </si>
  <si>
    <t>26.03.Акт 714  к329.Нет света в коридоре.Замена лампочек</t>
  </si>
  <si>
    <t>29.03.Акт 751 к 329-332 нет света на лестничной площадке. Замена лампочек 2 шт</t>
  </si>
  <si>
    <t>04.04.Акт 802. Плановый осмотр подвалов. В подвалах сухо</t>
  </si>
  <si>
    <t>05.04.Акт 823 к 507-508 Забита канализация в душевой .Прочищено</t>
  </si>
  <si>
    <t>07.04.Акт 828 к 505 Не работает канализация в душе. Прочищено</t>
  </si>
  <si>
    <t>15.04.Акт 901 к 301-304.Засор унитаза. Прочищено</t>
  </si>
  <si>
    <t>17.04.Акт 922 пен.фонд. Не поступает вода в сливной бачок. Прочищена гибкая подводка</t>
  </si>
  <si>
    <t>18.04.Акт 930 пенс.фонд. Не работает сливной бачок. Произведены слесарные работы по ремонту комплектующих бачка</t>
  </si>
  <si>
    <t>21.04.Акт 954 к 206 Забита канализация. Прочистил канализацию в мойке</t>
  </si>
  <si>
    <t>22.04.Акт 967 Плановый осмотр подвалов, нарушений работы подвальных коммуникаций не обнаружено</t>
  </si>
  <si>
    <t>24.04.Акт 988 подвал.Сорвало заглушку, произведена установка новой заглушки</t>
  </si>
  <si>
    <t>24.04.Акт 989 к 314-316. Засор канализации. Прочищено</t>
  </si>
  <si>
    <t>26.04.Акт 1007 Нет воды, авария топит 3 этаж. Поставли новый смеситель, заменил гибкую подводку</t>
  </si>
  <si>
    <t>26.04.Акт 1002 к 314. Топит 4 этаж. Перекрыл воду, требуется ремонт (замена) труб в мойке</t>
  </si>
  <si>
    <t>27.04.Акт 1014 к 208 Забит унитаз, прочищено</t>
  </si>
  <si>
    <t>28.04.Акт 1018 к 318. Засор унитаза, прочищено</t>
  </si>
  <si>
    <t>29.04.Акт 1030 к 505. Засор канализации в душе. Прочистка в душе и мойке</t>
  </si>
  <si>
    <t>30.04.Акт 1034 Запах канализации в подвале. Нарушений работы подвальных коммуникаций не обнаружено</t>
  </si>
  <si>
    <t>01.04.Акт 769 вахта , правое крыло 1 этаж нет света. Замена лампочек 1 шт</t>
  </si>
  <si>
    <t>02.04.Акт 779 Нет света на вахте.Замена лампочек 4 шт</t>
  </si>
  <si>
    <t>16.04.Акт 908 нет света 1 этаж. Замена лампочек 2 шт</t>
  </si>
  <si>
    <t>17.04.Акт 926 к 525 Нет света на 5 этаже. Замена лампочек 2 шт</t>
  </si>
  <si>
    <t>18.04.Акт 941 Нет света при входе. Замена лампочек 2 шт</t>
  </si>
  <si>
    <t>22.04.Акт 956 к231 Нет света на площадке 2 этаж, замена лампочки 1 шт</t>
  </si>
  <si>
    <t>25.04.Акт 990 на 1 этаже нет света. Замена лампочек 2 шт</t>
  </si>
  <si>
    <t>25.04.Акт 991  к.309 на 3 этаже нет света. Замена лампочек 2 шт</t>
  </si>
  <si>
    <t>23.04.Акт 972 Нет света на 1 этаже. Замена лампочек</t>
  </si>
  <si>
    <t>30.03.Акт 758 на 4.5 этажах нет света. Замена лампочек 3 шт</t>
  </si>
  <si>
    <t>08.05.Акт 1094 обработать подвал мистралью. Обработка подвала</t>
  </si>
  <si>
    <t>27.05.Акт 1234. Закрытие вводных задвижек на дом</t>
  </si>
  <si>
    <t>06.05.Акт 1059 Плановый осмотр подвалов. Нарушений работы подвальных коммуникаций не обнаружено</t>
  </si>
  <si>
    <t>08.05.Акт 1089 Плановый осмотр подвалов. Осмотрено, засор канализации, прочищено</t>
  </si>
  <si>
    <t>10.05.Акт 1108 к 201-204. Засор канализации, унитаза, прочищено</t>
  </si>
  <si>
    <t>10.05.Акт 1113 Сломался кран, перекрыт кран, требуется замена смесителя</t>
  </si>
  <si>
    <t>14.05.Акт 1137.Осмотр подвала. Осмотрено, засор центральной канализации</t>
  </si>
  <si>
    <t>14.05.Акт 1140 к 226. Засор канализации в душевой. Устранено</t>
  </si>
  <si>
    <t>01.05.Акт 1035 вахта, на 1 этаже передвахтой не горит свет. Замена лампочек 4 шт</t>
  </si>
  <si>
    <t>03.05.Акт 1041 к 332 Нет света на площадке 3 этаж.Замена 1 лампочки</t>
  </si>
  <si>
    <t>05.04.Акт 1045 вахта. На 1 этаже нет света. Замена лампочки</t>
  </si>
  <si>
    <t>06.05.Акт 1052. Разбито стекло на лестничной площадке 2 этаж. Щит установлен на место и закреплен</t>
  </si>
  <si>
    <t>06.05.Акт 1053 Нет света на 1 этаже. Замена лампочек</t>
  </si>
  <si>
    <t xml:space="preserve">08.05.Акт 1103 Нет света на вахте. Устранено, </t>
  </si>
  <si>
    <t>08.04.Акт 843 к 517 Установить щиток под счетчик. Осмотрено</t>
  </si>
  <si>
    <t>19.05.Акт 1163. Нет света на 1 этаже. Замена лампочек 2 шт</t>
  </si>
  <si>
    <t>22.05.Акт 1192 Нет света 2 этаж правое крыло. Замена лампочек 3 шт</t>
  </si>
  <si>
    <t>23.05.Акт 1205 к525. Горит щиток в коридоре, автомат в комнате. Осмотрено, ремонт распредкоробки</t>
  </si>
  <si>
    <t>27.05.Акт 1226 к 231. нет света в общем коридоре, замена лампочек 8 шт</t>
  </si>
  <si>
    <t>27.05.Акт 1228 к 434 Сгорел патрон в душевой. Замена патрона</t>
  </si>
  <si>
    <t>28.05.Акт 1236 к 203. Нет света в секции. Осмотрено</t>
  </si>
  <si>
    <t>28.05.Акт 1240 к203. Нет света в коридоре, в секции.Осмотрено сгорели контакты в самой лампе</t>
  </si>
  <si>
    <t>03.06.Акт 1265 юстиция. Топят сверху. Осмотрено, составлен акт</t>
  </si>
  <si>
    <t>17.01.Акт 124 к 221-22-224. Течет вода из трубы с туалета. Осмотрено, требуется замена разводки в туалетных помещениях.Стояк аварийный</t>
  </si>
  <si>
    <t>13.01.Акт 73 к517. Не греет вторая половина батареи. Осмотрено, в отопительный период невозможно промыть батареюЮ, заявку на лето</t>
  </si>
  <si>
    <t>04.06.Акт 1270 к 511. Забита канализация, устранено</t>
  </si>
  <si>
    <t>11.06.Акт 1325 юстиция. Топят сверху. Осмотрено, стоит вода в душе, канализация уходит</t>
  </si>
  <si>
    <t>18.06.Акт 1362 к 434 Провести воду в комнату. Осмотрено, воду можно провести только чере 2,3 этажи</t>
  </si>
  <si>
    <t>24.06.Акт 1391 Засор общедомовой канализации, прочищено</t>
  </si>
  <si>
    <t>26.06.Акт 1408 контора. В сливной бачок плохо поступает вода, осмотрено, прочистка гибкой подводки</t>
  </si>
  <si>
    <t>26.06.Акт 1412. Плановый осмотр подвалов. Осмотрено, канализация уходит</t>
  </si>
  <si>
    <t>27.06.Акт 1414 Провести воду в комнату. Осмотрено, нет технической возможности</t>
  </si>
  <si>
    <t>03.06.Акт 1260 вахта, нет света в коридоре перед вахтой. Замена лампочек 1 шт</t>
  </si>
  <si>
    <t>05.06.Акт 1279 5 эт. Нет света в общем коридоре, замена лампочек 4шт</t>
  </si>
  <si>
    <t>09.06.Акт 1312 вахта, 1 этаж нет света.Замена лампочек 6шт</t>
  </si>
  <si>
    <t>20.05.Акт 1174 к 517 Установить щиток на новый э/счетчик, осмотрено</t>
  </si>
  <si>
    <t xml:space="preserve">20.05.Акт1174 к 517. Установить щиток. Установка щитка под счетчик , провод АППВ 6*2 4 м, </t>
  </si>
  <si>
    <t>20.06.Акт 1375 к 332 Нет света перед домофоном, замена лампочки 1 шт</t>
  </si>
  <si>
    <t>21.06.Акт 1380 вахта. Нет света на 1 этаже, коридор. Замена лампочек 2 шт</t>
  </si>
  <si>
    <t>25.06.Акт 1403 к 332. Нет света в общем коридоре, левое крыло, замена 3 лампочек</t>
  </si>
  <si>
    <t>02.07.Акт 1441 к 332. Течет под раковиной. Осмотрено, требуется замена крана д 15</t>
  </si>
  <si>
    <t>03.07.Акт 1449 к 228 Перекинуть трубы на водоподогреватель. Осмотрено, нужно заменить гибкую подводку</t>
  </si>
  <si>
    <t>07.07.Акт 1470 к 329. Заменить арматуру в сливном бачке, устранено, установил арматуру в сливной бачок</t>
  </si>
  <si>
    <t>07.07.Акт 1473 к 434. Провести воду в комнату. Проводка водопровода п/п, установка крана.</t>
  </si>
  <si>
    <t>15.07.Акт 1511 юстиция. Топят соседи сверху, осмотрено в секцтт 201-204 требуется полная замена труб хвс. Установка заглушки  на смеситель, течь устранена</t>
  </si>
  <si>
    <t>19.07.Акт 1541 к 332. Забита канализация в душе. Устранено, прочищено</t>
  </si>
  <si>
    <t>22.07.Акт 1550 к 521 Из под умывальника бежит вода. Устранено, подтекала гофра</t>
  </si>
  <si>
    <t>27.07.Акт 1581 к 325 Течь канализационной трубы в мойке. Устранено, запнили лежак канализации в мойке</t>
  </si>
  <si>
    <t>31.07.Акт 1608 к 207 Засор канализации в душе. Устранено прочищена канализация в душе</t>
  </si>
  <si>
    <t>01.07.Акт 1433 к505, перегорели лампочки, устранено замена 2 лампочек</t>
  </si>
  <si>
    <t>05.07.Акт 1467 вахта, нет света при входе в подъезд, произведена замена 2х лампочек</t>
  </si>
  <si>
    <t>12.07.Акт 1502 вахта, на 1 этаже нет света. Замена лампочек</t>
  </si>
  <si>
    <t>14.07.Акт 1506 вахта. 1 этаж передвахтой на 1 этаже нет света, замена лампочек</t>
  </si>
  <si>
    <t>16.07.Акт к 403. на 1 этаже щитовая открыта. Закрыл щиток</t>
  </si>
  <si>
    <t>16.07.Акт 1515 вахта. На 1 этаже нет света, замена лампочки</t>
  </si>
  <si>
    <t>19.07.Акт 1533 к 231 Нет света на 2 этаже. Замена лампочек 8 шт на всех этажах</t>
  </si>
  <si>
    <t xml:space="preserve">28.07.Акт 1575 к 403 Горит провод в счетчике. Проведено техническое обслуживание, протяжка контактов. Требуется замена автоматов и фазного провода </t>
  </si>
  <si>
    <t>30.07.Акт 1594 к 204 В секции не горит лампочка. Осмотрено, выполнен ремонт патрона</t>
  </si>
  <si>
    <t>05.08.Акт 1638 к 207. Засор унитаза. Прочистка тросом лежака канализации в секции</t>
  </si>
  <si>
    <t>07.08.Акт 1649 к 411 в туалете подтекает бачок, осмотрено, образование конденсата на трубах хвс, скопление воды на полу</t>
  </si>
  <si>
    <t>08.08.Акт 1650 к 204 Засор канализации, в душе прочищено тросом, в подвале нарушений работы канализации не обнаружено</t>
  </si>
  <si>
    <t>13.08.Акт 1681 к 314. Засор канализации, прочищено тросом до стояка</t>
  </si>
  <si>
    <t>24.08.Акт 1712 к 223. Засор канализации в душевой, течет на 1 этаж, прочищено</t>
  </si>
  <si>
    <t>30.08.Акт 1756 к 411. В туалете течет труба. Осмотрено, требуется замена бачка и арматуры</t>
  </si>
  <si>
    <t>03.08.Акт 1625 к 203, 1,2 этаж нет света. Замена лампочек 4 шт</t>
  </si>
  <si>
    <t>12.08.Акт 1666 вахта, нет света на 1 этаже. Замена лампочек 4 шт</t>
  </si>
  <si>
    <t>17.08.Акт 1671 к 517 На 5 этаже не горит свет. Замена лампочек 3 шт</t>
  </si>
  <si>
    <t>20.08.Акт 1690 5 этаж нет света, замена лампочек 5 шт</t>
  </si>
  <si>
    <t>21.08.Акт 1692 при входе нет света. Замена лампочек</t>
  </si>
  <si>
    <t>23.08.Акт 1707 нет света на входе. Замена лампочек 2 шт</t>
  </si>
  <si>
    <t>06.09. Акт 1840 Уборка помещений теплового узла</t>
  </si>
  <si>
    <t>21.09.Акт 1957 к 501. Проверить стояк отопления, осмотрено, стояк открыт</t>
  </si>
  <si>
    <t>04.09.Акт 1805 к 512. Забита в мойке труба. Прочищено</t>
  </si>
  <si>
    <t>06.09.Акт 1830 Засор канализации в подвале. Прочищено тросом до колодца</t>
  </si>
  <si>
    <t>12.09. Акт 1854 к 512. Забита канализация. Прочищено тросом через унитаз по лежаку до стояка</t>
  </si>
  <si>
    <t>14.09.Акт 1879 к 315. Нет воды в секции, устранено</t>
  </si>
  <si>
    <t>20.09.Акт 1935 пенс.фонд. Под раковиной бежит вода. Осмотрено, требуется замена смесителя</t>
  </si>
  <si>
    <t>20.09.Акт 1926 к 403 Не уходит вода в мойке. Прочищено тросом до стояка</t>
  </si>
  <si>
    <t>20.09.Акт 1936 В подвале хлещит вода. Устранено, закрыт кран на стояке отопления</t>
  </si>
  <si>
    <t>23.09.Акт 1953 к304. Сломался сливной бачок. Произведена регулировка комплектующих сливного бачка</t>
  </si>
  <si>
    <t>24.09.Акт 2007 к 229. Холодный стояк. Стояк перепущен</t>
  </si>
  <si>
    <t>25.09.Акт 1987 к 427 Топят соседи сверху. Засор канализации. Прочищено тросом</t>
  </si>
  <si>
    <t>01.09.Акт 1758 к 329. Нет света на 3 этаже. Замена лампочек 2 шт</t>
  </si>
  <si>
    <t>02.09.Акт 1768 к 325 Нет света 3 этаж левое крыло. Замена лампочек 3 шт</t>
  </si>
  <si>
    <t>03.09.Акт 1802 к 226-227. Оголены э/провода в мойке. Осмотрено, в мойке и душевой видимых нарушений нет, в секцию 225-228 не пустили, нет дома</t>
  </si>
  <si>
    <t>10.09.Акт 1846  вахта, перегорела лампочка на 1 этаже перед вахтой, замена лампочек 1 шт</t>
  </si>
  <si>
    <t>11.09.Акт 1855 к 222-224, выбивает автоматы, замена автомата, 32А 1 шт</t>
  </si>
  <si>
    <t>16.09.Акт 1883 вахта, перед вахтой нет света, замена лампочки 2 шт</t>
  </si>
  <si>
    <t>25.09.Акт 1986 к 207. Нет света в общем коридоре 1,2 этажи. Замена лампочек на этажах 8 шт</t>
  </si>
  <si>
    <t>24.10.Акт 2259 Ремонт входных дверей. Дверь отремонтирована, пружина установлена</t>
  </si>
  <si>
    <t xml:space="preserve">01.10.Акт 2048 Смена входных дверей в офис </t>
  </si>
  <si>
    <t>24.10.Акт 2263 пр.крыло. Остекление окон по площадкам  лестничной клетки</t>
  </si>
  <si>
    <t>30.10.Акт 2305 Обработка подвала. Проведена дезинфекция подвала</t>
  </si>
  <si>
    <t>02.10.Акт 2062 к 421-422. Засор канализации в душе, мойке. Прочищено тросом</t>
  </si>
  <si>
    <t>02.10.Акт 2066 пеннс. Топят сверху. Засор унитаза, устранено</t>
  </si>
  <si>
    <t>02.10.Акт 2063 к 207 Забита канализация. Прочищено тросом</t>
  </si>
  <si>
    <t>04.10.Акт 2097 к 232 Течь воды в душе, устранено</t>
  </si>
  <si>
    <t>07.10.Акт 2129 к 320. Плохой напор вода. Устранено, прочищена гибкая подводка</t>
  </si>
  <si>
    <t>07.10.Акт 2122 к 402. Засор унитаза, устранено</t>
  </si>
  <si>
    <t>08.10.Акт 2130 к 519-520 В мойке, где раковина течет ируба, осмотрено, течи не обнаружено</t>
  </si>
  <si>
    <t>09.10.Акт 2142 к 304. В туалете не работает смывной бачок. Осмотрено, нужна замена арматуры</t>
  </si>
  <si>
    <t>11.10.Акт 2161 Плановый осмотр подвальных помещений. Осмотрено, нарушений работы подвальных коммуникаций не обнаружено</t>
  </si>
  <si>
    <t>15.10.Акт 2187 к 208 Засор унитаза. Засор центральной канализации, устранено, прочищено тросом</t>
  </si>
  <si>
    <t>17.10.Акт 2202 к 401-404. Засор унитаза в душевой. Осмотрено, засора нет</t>
  </si>
  <si>
    <t>18.10.Акт 2236 к 215-219 Нет воды, очень слабый напор. Устранено, замена трубы хвс</t>
  </si>
  <si>
    <t>19.10.Акт 2228 вахта. Не работает служебный туалет. Проиведен ремонт и регулировка сливного бачка</t>
  </si>
  <si>
    <t>21.10.Акт 2238 к 229-332, засор унитаза, устранено, засор центральной канализации</t>
  </si>
  <si>
    <t>22.10.Акт 2247 вахта. В туалете полная раковина воды. Сифон прочищен</t>
  </si>
  <si>
    <t>27.10.Акт 2272 к 207 Засор унитаза. Засор канализации прочистка тросом</t>
  </si>
  <si>
    <t>30.10.Акт 2299 к 233 Плохой напор воды. Прочищена гибкая подводка</t>
  </si>
  <si>
    <t>22.10.Акт 2257 к 201. Затопило туалет в секции. Засор лежака канализации, устранено, прочистили тросом</t>
  </si>
  <si>
    <t>25.10.Акт 2266 к 320. Плохой напор воды. Устранено</t>
  </si>
  <si>
    <t>01.10.Акт 2046 1 этаж. Нет света. Замена лампочек 2 шт</t>
  </si>
  <si>
    <t>04.10.Акт 2091 нет света на входе. Замена лампочек 1 шт</t>
  </si>
  <si>
    <t>10.10.Акт 2146 В коридоре перегорела лампочка. Замена лампочек 3шт</t>
  </si>
  <si>
    <t>15.10.Акт 2194 к 505 Нет света на 5 этаже. Замена лампочек 6 шт</t>
  </si>
  <si>
    <t>16.10.Акт 2210 к203-204 Не горит лампочка в туалете и мойке. Ремонт выключателя в секции</t>
  </si>
  <si>
    <t>22.10.Акт 2239 Перед вахтой нет света, и по всем этажам. Замена лампочек 15 шт</t>
  </si>
  <si>
    <t>28.10.Акт 2283 Нет света на крыльце. Замена 2 лампочек</t>
  </si>
  <si>
    <t>22.11. Акт 2626 к 228 Заделать дырку, осталось после замены труб, устранено</t>
  </si>
  <si>
    <t>18.11.Акт 2515 Не закрыты запапсные двери. Один выход закрыт на замок</t>
  </si>
  <si>
    <t>14.11.Акт 2539 Убрать деревяную дверь. Устранено, двеои тамбура сняты до наступления холодов</t>
  </si>
  <si>
    <t>01.11. Акт 2318 426-428 Засор канализации в мойке. Прочищено</t>
  </si>
  <si>
    <t>05.11. Акт 2324 юстиция. Не поступает вода в унитаз, мойку. Устранено, прочищен кран на стояке и фильтр грубой очистки</t>
  </si>
  <si>
    <t>08.11.Акт 2461 подвал. Осмотр подвала. Осмотрено, замечаний нет</t>
  </si>
  <si>
    <t>09.11. Акт 2480 к 431 Засор канализации, прочищено</t>
  </si>
  <si>
    <t>15.11. Акт 2559 плановый осмотр канализации. Осмотрено, замечаний нет</t>
  </si>
  <si>
    <t>19.11. Акт 2608 к 431-432 Подключить душ. Работы по подключению выполнены</t>
  </si>
  <si>
    <t>19.11. Акт 2581 Плановый осмотр подвалов. Осмотрено, засор канализации, прочищено тросом по лежаку</t>
  </si>
  <si>
    <t>20.11.Акт 2594 пенс.фонд. Засор раковины в туалете. Осмотрено течи нет, подтянул смеситель</t>
  </si>
  <si>
    <t>20.11. Акт 2597 Плановый осмотр подвалов. Осмотрено течи нет</t>
  </si>
  <si>
    <t>20.11.Акт 2607 к 416. Засор канализации. Устранено</t>
  </si>
  <si>
    <t xml:space="preserve">20.11. Акт 2600 к 226. Поставить манжет в мойке. Устранено, установил манжету </t>
  </si>
  <si>
    <t>24.11. Акт 2619 к 207. Засор канализации, прочищено</t>
  </si>
  <si>
    <t>26.11.Акт 2649 к 226. Не держит кран в душевой. Осмотрено, требуется заменапрокладок на кранбуксе</t>
  </si>
  <si>
    <t>26.11.Акт 2647 Засор канализации в подвале. Прочищено тросом по лежаку</t>
  </si>
  <si>
    <t>26.11. Акт 2650 к 205-208 Забита канализация. Устранено, прочищено тросом, вода ушла</t>
  </si>
  <si>
    <t>26.11.Акт 2667 к 233. Провести воду в комнату. Осмотрено, обнаружен засор отвода на стояке, прочищено тросом по стояку</t>
  </si>
  <si>
    <t>27.11. Акт 2659 Плановый обход подвальных коммуникаций. Осмотрено, течи канализации не обнаружено</t>
  </si>
  <si>
    <t>28.11.Акт 2693.  к226. Заменить кран в душевой. Замена крана</t>
  </si>
  <si>
    <t>05.11.Акт 2456 к 331 Нет света на 3 этаже. Замена лампочек 2 шт</t>
  </si>
  <si>
    <t>07.11. Акт 2475 к 317-318 Нет света в комнатах. Нет дома  07.11. 16-00, 08.11.-14-40</t>
  </si>
  <si>
    <t>10.11.Акт 2499  нет света 1,2 этаж. Замена лампочек 4 шт</t>
  </si>
  <si>
    <t>11.11.Акт 2498 к 322-324 нет света в секции. Прокладка провода 5 м</t>
  </si>
  <si>
    <t>11.11.Акт 2507 к 401-404 Нет света при входе на балкон, ремонт патрона</t>
  </si>
  <si>
    <t>11.11.Акт 2508 , 2511Нет света на 1,2,3 этажах. Замена лампочек10шт</t>
  </si>
  <si>
    <t>12.11.Акт 2533 к 229 Нет света на лестничной клетке 2,4 этаж. Замена лампочек 2шт</t>
  </si>
  <si>
    <t>13.11. Акт 2535 к 505 В душе поплавились патроны. Замена подвесного патрона 1шт</t>
  </si>
  <si>
    <t>14.11. Акт 2543 нет света 1 этаж. Замена лампочек 3 шт</t>
  </si>
  <si>
    <t>26.11.Акт 2685 нет света на крыльце. Замена лампочек 2шт</t>
  </si>
  <si>
    <t>16.12.акт 2897 Оторваны пружины на входной двери. Устранено, пружины натянуты</t>
  </si>
  <si>
    <t>11.12. Акт 2816 Ремонт и установка дверей тамбурных</t>
  </si>
  <si>
    <t>21.12. Акт 2934 к 434 С потолка по углу бежит вода. Осмотрено, все стены влажные</t>
  </si>
  <si>
    <t>23.12. Акт 2941 Входная дверь металлическая висит на нижней петле. Осмотрено, дверь сняли</t>
  </si>
  <si>
    <t>24.12. Акт 2975 Поставлены шарниры на двери металлические</t>
  </si>
  <si>
    <t>01.12. Акт 2708 к 505,525 Засор канализации, прочищено</t>
  </si>
  <si>
    <t>02.12.Акт 2731 пенс. Фонд. Засор канализации, прочищено по лежаку в подвале</t>
  </si>
  <si>
    <t>03.12.Акт 2747 Сильный запах канализации из подвала.Осмотрено, нарушений работы систем водоснабжения, канализации не обнаружено. Требуется дезинфекция подвала</t>
  </si>
  <si>
    <t>04.12.акт 2760 к 403 Засор раковины, прочищено тросом до стояка</t>
  </si>
  <si>
    <t>04.12.Акт 2762 к 403.Засор унитаза, устранено, прочищено тросом</t>
  </si>
  <si>
    <t>06.12.Акт 2779 Плановый осмотр подвалов, осмотрено, нарушений работоспособности коммуникаций не обнаружено</t>
  </si>
  <si>
    <t>09.12.Акт 2797 Плановый осмоьтр подвала. Осмотрено замечаний нет</t>
  </si>
  <si>
    <t>11.12.Акт 2843 к 525 Очень слабо поступает вода в мойке после ремонта хвс. Устранено</t>
  </si>
  <si>
    <t>11.12.Акт 2824 Плановый осмоьтр подвала. Осмотрено замечаний нет</t>
  </si>
  <si>
    <t>12.12.Акт 2839 Плановый осмоьтр подвала. Осмотрено замечаний нет</t>
  </si>
  <si>
    <t>13.12.Акт 2858 к 501-502 Засор канализации в душе., устранено</t>
  </si>
  <si>
    <t>15.12.Акт 2867 к 201. В комнате прорвало воду. , устранено</t>
  </si>
  <si>
    <t>16.12.Акт 2876 к 425 Подключить воду, устранено</t>
  </si>
  <si>
    <t>16.12.Акт 2882 к203-204  вода бежит в туалете. Осмотрено, конденсат</t>
  </si>
  <si>
    <t>16.12.Акт 2889 Засор канализации в подвале. Засор устранен</t>
  </si>
  <si>
    <t>17.12.Акт 2887 пенс.фонд. С потолка капает вода.Осмотрено, пролили воду на 2 этаже</t>
  </si>
  <si>
    <t>17.12.Акт 2892 Плановый осмотр подвалов, осмотрено, замечаний нет</t>
  </si>
  <si>
    <t>17.12.Акт2899 к 223 С трубы бежит вода, где заменили стояк. , устранено, бежит гибкая горячей воды</t>
  </si>
  <si>
    <t>20.12.Акт 2924 Плановый осмотр подвалов. Осмотрено, обнаружен засор канализации по лежаку, прочищено тросом</t>
  </si>
  <si>
    <t>22.12.Акт 2958 Бежит унитаз, перекрыт кран подачи воды к унитазу.</t>
  </si>
  <si>
    <t>23.12.Акт 2961 к 409-412 Унитаз течет. Обследовано необходимо укрепить унитаз, заменить гофру</t>
  </si>
  <si>
    <t>23.12.Акт 2942 пенс.фонд. Засор раковины в туалете. Осмотрено, засора не обнаружено, замечаний нет</t>
  </si>
  <si>
    <t>23.12.Акт 2949 Плановый осмотр подвалов, осмотрено, засор канализации, прочищено</t>
  </si>
  <si>
    <t>23.12.Акт 2956 к 403. Засор канализации в туалете, устранено</t>
  </si>
  <si>
    <t>27.12.Акт 2914 Плановый осмотр подвалов, осмотрено, замечаний нет</t>
  </si>
  <si>
    <t>28.12.Акт 2923 к 223. Топит мойку, засор канализации, прочищено</t>
  </si>
  <si>
    <t>30.12.Акт 2929 Плановый осмотр подвалов, осмотрено, замечаний нет</t>
  </si>
  <si>
    <t>30.12.Акт 2941 к 434 Засор унитаза, устранено</t>
  </si>
  <si>
    <t>08.12.Акт 2794 Плановый осмотр подвалов. Обследовано, замечаний нет, системы хвс, ОТС, канализации исправны.</t>
  </si>
  <si>
    <t>01.12.Акт 2715 к505 Нет света в общем коридоре. Замена лампочек 3 шт</t>
  </si>
  <si>
    <t>02.12.акт 2716 к 201 Нет света в комнате. Осмотрено, нет контакта в комнате на автомате, устранено</t>
  </si>
  <si>
    <t>02.12.Акт 2730 нет света в комнате, осмотрено, отгорели провода в РП в секции, установка СИЗ-3 6 шт</t>
  </si>
  <si>
    <t>09.12.Акт 2799 Нет света 3 этаж правое крыло. Замена лампочек 3 шт</t>
  </si>
  <si>
    <t>11.12.Акт 2814 на 1 этаже щитовая открыта. Закрыл щит</t>
  </si>
  <si>
    <t>12.12.Акт 2855 Нет света на 1 этаже, замена 1 лампочки</t>
  </si>
  <si>
    <t>16.12.Акт 2872 Нет света на 1 этаже, замена 1 лампочки</t>
  </si>
  <si>
    <t>26.12.Акт 2902 к 501 Заменить розетку в комнате.  нет дома</t>
  </si>
  <si>
    <t>27.12.Акт 2962 к501. Замена розетки 1 шт</t>
  </si>
  <si>
    <t>30.12.Акт 2933 3 этаж, нет света  в общем коридоре, замена патронов 3 шт, замена лампочек 4 шт, провод 2 м</t>
  </si>
  <si>
    <t>25.12.Акт 2903 к 329 1 этаж при входе нет света.Замена лампочек 5 шт</t>
  </si>
  <si>
    <t>20.12.Акт 2979 к 517 Заизолировать провода со стороны мойки. Провод заизолирован</t>
  </si>
  <si>
    <t xml:space="preserve"> по улице  Пушкина  №7 а за 2013 год</t>
  </si>
  <si>
    <t>23.01.Акт 155 Сломана входная дверь. Выполнены сварочные работы по ремонту дверей</t>
  </si>
  <si>
    <t>Водопровод, канализация</t>
  </si>
  <si>
    <t>05.01.Акт 22 к 206 Холодная батарея в комнате, перепущен стояк</t>
  </si>
  <si>
    <t>02.01.Акт 7 к 314 забит туалет. Устранено, пробито до стояка</t>
  </si>
  <si>
    <t>03.01.Акт 9 к320. Засор канализации, устранено, засор местной канализации</t>
  </si>
  <si>
    <t>03.01.Акт 8 к 228 В предтуалетной комнате подтекает кран. Осмотрено</t>
  </si>
  <si>
    <t>09.01.Акт 8  к 228 произведена замена крана</t>
  </si>
  <si>
    <t>05.01.Акт 19 к 411 Забит унитаз, не уходит вода, прочищено</t>
  </si>
  <si>
    <t>05.01.Акт 20 к 404 Забит унитаз, прочищено</t>
  </si>
  <si>
    <t>06.01.Акт 26 Засор канализации в подвале. Прочищено тросом по лежаку в подвале</t>
  </si>
  <si>
    <t>09.01.Акт 34 Засор канализации в подвале. Прочищено по лежаку в подвале</t>
  </si>
  <si>
    <t>11.01.Акт 61 Забита канализация в подвале. Устранено, канализация прочищена</t>
  </si>
  <si>
    <t>13.01.Акт 72 к513, забит унитаз, засор центрального стояка, устранено, прочистили тросом</t>
  </si>
  <si>
    <t>15.01.Акт 95 к 336,305-308, плохой напор воды. Напор воды из крана восстановлен, прочищена сеточка</t>
  </si>
  <si>
    <t>15.01.Акт 98 к 305-306 Засор унитаза, прочищено тросом по стояку</t>
  </si>
  <si>
    <t>15.01.Акт 88 к 517 В ливной бачок не поступает вода. Устранено, прочистистка гибкой подводки</t>
  </si>
  <si>
    <t>20.01.Акт 133 к 401 Засор раковины в мойке, прочищено тросом до стояка</t>
  </si>
  <si>
    <t>25.01.Акт 174 к 513 в сливной бачок не поступает вода, устранено. Был забит клапан</t>
  </si>
  <si>
    <t>28.01.Акт 192 к 320 Засор канализации в душевой, прочищено тросом в туалете и в душевой до стояка</t>
  </si>
  <si>
    <t>28.01.Акт 204 к 403 Засор канализации в мойке, прочищено тросом до стояка</t>
  </si>
  <si>
    <t>31.01.Акт 234а к 436 Посмотреть в комнате можно ли провести воду. Обследовано техническая возможность имеется, необходимо согласовать со 2 ком 236</t>
  </si>
  <si>
    <t>02.01.Акт 6 нет света на 1 этаже. Замена лампочек 2 шт</t>
  </si>
  <si>
    <t>05.01.Акт 21 к 528 Не горят лампочки в коридорах. Замена лампочек 6 шт</t>
  </si>
  <si>
    <t>07.01.Акт 29 к 528 Нет света на лестничной площадке, осмотрено свет есть</t>
  </si>
  <si>
    <t>09.01.Акт 32 к 528 на лестнице на 2 этаже нет света, замена лампочек 1 шт, требуется установить патрон</t>
  </si>
  <si>
    <t>09.01.Акт 38 к 229 нет света в коридоре. Замена лампочек 2 шт</t>
  </si>
  <si>
    <t>10.01.Акт 51 к 511 В большом коридоре нет света. Замена лампочек 1шт</t>
  </si>
  <si>
    <t>16.01.Акт 108 к 326 Нет света в общем коридоре, замена лампочек 3 шт</t>
  </si>
  <si>
    <t>19.01.Акт 132 к 428 На 4 этаже в коридоре нет света, замена лампочек на этажах 7 шт</t>
  </si>
  <si>
    <t>24.01.Акт 160 к 525 Нет света в общем коридоре. Осмотрено, отломан провод от светильника и подключена левая розетка, отключение розетки, подключение светильника, замена лампочек 5шт</t>
  </si>
  <si>
    <t>29.01.Акт 210 к 528 На лестничной площадке нет света, замена лампочек 1 шт</t>
  </si>
  <si>
    <t>31.01.Акт 238 к 425-426. В туалете разорвало лампочку и в секции нет света. Замена лампочек 3шт</t>
  </si>
  <si>
    <t>31.01.Акт 247 к 436 Заменить розетку и выключатель. Осмотрено нужно приобрести 4 розетки, 2 выключателя</t>
  </si>
  <si>
    <t>27.02.Акт 451 к 420 Установка дверного замка. Замок врезали по заявке администрации</t>
  </si>
  <si>
    <t>07.02.Акт 272 Засор канализации в подвале. Устранено, прочищено до колодца</t>
  </si>
  <si>
    <t>07.02.Акт 275 к 224 В мойке бежит кран. Устранено, замена кранбуксы</t>
  </si>
  <si>
    <t>13.02.Акт 321 к 314 Засор унитаза, прочищено тросом через унитазы до стояка</t>
  </si>
  <si>
    <t>15.02.Акт 336 Засор канализации в подвале. Прочищено тросом по лежаку до колодца</t>
  </si>
  <si>
    <t>18.02.Акт 354 В мойке забита канализация, устранено, прочищено</t>
  </si>
  <si>
    <t>19.02.Акт 371 к 302 Забился унитаз, прочищено тросом до стояка</t>
  </si>
  <si>
    <t>28.02.Акт 463 к 511 В унитазе стоит вода, прочищено тросом через унитаз до стояка</t>
  </si>
  <si>
    <t>02.02.Акт 254 КЦСОН Горит щитовая, горят контакты. Отключение напряжения в щитовой для устранения неисправности</t>
  </si>
  <si>
    <t>04.02.Акт 261 к 528 В предтуалетной комнате сгорел патрон. Замена патрона 1 шт</t>
  </si>
  <si>
    <t>06.02.Акт 270 к 528 На лестничной клетке нет света, замена лампочек 3 шт</t>
  </si>
  <si>
    <t>09.02.Акт 283 к 511 В маленьком коридоре нет света. Замена лампочек 2 шт</t>
  </si>
  <si>
    <t>15.02.Акт 334 перегорела лампочка на крыльце. Замена лампочки 1 шт</t>
  </si>
  <si>
    <t>18.02.Акт 360 к 223 Переставить розетку, осмотрено сгорела розетка, новой нет</t>
  </si>
  <si>
    <t>19.02.Акт 366 Перегорела лампочка на входе. Замена лампочки 1 шт</t>
  </si>
  <si>
    <t>21.02.Акт 387 нет света на вхте. Замена лампочек 2 шт</t>
  </si>
  <si>
    <t>25.02.Акт 426 к 307. Нет света в общем коридоре, замена лампочек 3 шт</t>
  </si>
  <si>
    <t>28.02.Акт 470 к 419 Нет света 4 эт. Замена лампочек 5 шт</t>
  </si>
  <si>
    <t>14.03.Акт 618 к 524 Холодная батарея в комнате, стояк перепущен</t>
  </si>
  <si>
    <t>16.03.Акт 638 к 525 Холодные батареи в комнате , перепущен стояк</t>
  </si>
  <si>
    <t>07.03.Акт 540 к 224 В мойке под раковиной бежит вода. Осмотрено, нужно заменить сифон на металлическую раковину</t>
  </si>
  <si>
    <t>11.03.Акт 568 Засор канализации в подвале, прочищено</t>
  </si>
  <si>
    <t>11.03.Акт 579 к 209 Включить воду по стояку. Устранено, стояк открыт</t>
  </si>
  <si>
    <t>17.03.Акт 640 вахта. Течь воды с потолка на вахте, осмотрено на 2 этаже протечек нет, от 225 комнаты нет ключей</t>
  </si>
  <si>
    <t>23.03.Акт 697 протекает канализационная труба напротив слесарки, устранено</t>
  </si>
  <si>
    <t>23.03.Акт 696 к 320 Топят соседи сверху, перекрыли стояк в подвале, на 4 м этаже нет дома хозяев, вскрыли душевую с разрешения хозяев, прекрыли воду в душевой</t>
  </si>
  <si>
    <t>25.03.Акт 706 к 435 Засор канализации, прочищено</t>
  </si>
  <si>
    <t>25.03.Акт 710 к 401-404 Засор канализации в мойке, устранено</t>
  </si>
  <si>
    <t>29.03.Акт 740 центр реаб. Топят соседи сверху. Осмотрено, был открыт кран на унитаз, топило с вечера, перекрыто</t>
  </si>
  <si>
    <t>29.03.Акт 739 к 320. Топят 4эт душевая. Перекрыт стояк с водой в подвале</t>
  </si>
  <si>
    <t>29.03.Акт 742 к 414. Засор раковины в мойке. Прчищено</t>
  </si>
  <si>
    <t>01.03.Акт 474 к 528 Нет света на лестничной площадке. Замена лампочек 3 шт</t>
  </si>
  <si>
    <t>11.03.Акт 558 нет света 4 этаж, замена лампочек 3 шт</t>
  </si>
  <si>
    <t>12.03.Акт 588 к 526 В умывальнике и в секции нет света. Замена лампочек 5 шт</t>
  </si>
  <si>
    <t>14.03.Акт 616 На входе нет света. Замена лампочек 1 шт</t>
  </si>
  <si>
    <t>17.03.Акт 644 Нет света на входе. Замена лампочек 1 шт</t>
  </si>
  <si>
    <t>20.03.Акт 668 к 517 В секции сгорел патрон,замена патрона</t>
  </si>
  <si>
    <t>24.03.Акт 699 На входе нет света. Замена лампочек 1 шт</t>
  </si>
  <si>
    <t>25.03.Акт 708 к 234 Нет света в секции. Замена лампочек 2 шт</t>
  </si>
  <si>
    <t>25.03.Акт 711 к 528 Нет света на 5 этаже. Замена лампочек 3шт</t>
  </si>
  <si>
    <t>26.03.Акт 716 к 517 Сгорел патрон в секции, замена патрона</t>
  </si>
  <si>
    <t>20.03.Акт 671 Нет света на крыльце и в коридоре. Замена лампочек 2 шт</t>
  </si>
  <si>
    <t>31.03.Акт 767 Нет света на крыльце, замена лампочек 2 шт</t>
  </si>
  <si>
    <t>31.03.Акт 764 к 331 Не держит кран в мойке, отключен смеситель, требуется замена смесителя.</t>
  </si>
  <si>
    <t>04.04.Акт 811 Установить замок на люк. Люки в левом и правом крыле закрыты</t>
  </si>
  <si>
    <t>01.04.Акт 772 к 333, в мойке сломан кран осмотрено требуется замена крана</t>
  </si>
  <si>
    <t>02.04.Акт 777 Подтекает канализационная труба на 1 этаже. Закрыл крышку на стояке</t>
  </si>
  <si>
    <t>03.04.Акт 793 к 414 Не работает сливной бачок. Осмотрено, комнаты приватизированы, хозяину комнаты 414 необходимо купить материалы.</t>
  </si>
  <si>
    <t>04.04.Акт 804 Плановый осмотр подвалов, осмотрено в подвале сухо</t>
  </si>
  <si>
    <t>15.04.Акт 905 к 331 Кран в мойке прокручивается, установка нового "барашка"</t>
  </si>
  <si>
    <t>22.04.Акт 966 Плановый осмотр подвала. Нарушений работы подвальных коммуникаций не обнаружено</t>
  </si>
  <si>
    <t>24.04.Акт 981 к 508 Засор унитаза, прочищено</t>
  </si>
  <si>
    <t>29.04.Акт 1021 к 224 В туалете бежит труба, в мойке плохой напор, устранено</t>
  </si>
  <si>
    <t>04.04.Акт 814 к 311-313 В коридоре нет света. Замена лампочек 3шт</t>
  </si>
  <si>
    <t>05.04.Акт 820 Перегорела лампочка на вахте. Замена лампочек 1 шт</t>
  </si>
  <si>
    <t>05.04.Акт 822 к 215. Нет света на 2 этаже. Замена лампочек 3 шт</t>
  </si>
  <si>
    <t>11.04.Акт 877 к 419 В большом коридоре нет света, замена лампочек 3 шт</t>
  </si>
  <si>
    <t>17.04.Акт 921 к 335 Нет э/э в комнате. Осмотрено замыкание эл.плиты, выбило автомат</t>
  </si>
  <si>
    <t>22.04.Акт 958 Нет света на 1 этаже. Замена лампочек 1шт</t>
  </si>
  <si>
    <t>22.04.Акт 963 к 511, нет света на 5 этаже. Замена лампочек 4 шт</t>
  </si>
  <si>
    <t>24.04.Акт 985 к 528 нет света на 5 этаже левое крыло. Замена лампочек 3 шт</t>
  </si>
  <si>
    <t>25.04.Акт 993 к 427 в секции нет света. Ремонт патрона</t>
  </si>
  <si>
    <t>29.04.Акт 1022 к 224, отгорел провод от розетка, осмотрено выбило автомат на э/плиту</t>
  </si>
  <si>
    <t>13.05.Акт 1127 левое крыло. Сломаны деревяные перила 3-4 этаж. Сломаные перила убрали</t>
  </si>
  <si>
    <t>25.05.Акт 1235 Закрытие вводных задвижек на дом</t>
  </si>
  <si>
    <t>06.05.Акт 1060 Плановый осмотр подвалов, нарушений работы подвальных коммуникаций не обнаружено</t>
  </si>
  <si>
    <t>06.05.Акт 1064 к 302 Засор канализации в душе. Прочитска канализации</t>
  </si>
  <si>
    <t>08.05.Акт 1079 к 320. Не работает кран в мойке, отказ от зявки</t>
  </si>
  <si>
    <t>10.05.Акт 1109 к 320 Установить кран в мойке, кран установлен</t>
  </si>
  <si>
    <t>06.05.Акт 1063 к 320 Заменить кран в мойке. Осмотрено</t>
  </si>
  <si>
    <t>15.05.Акт 1142 к 529-532 Течет канализация в мойке. Осмотрено, лопнула труба в мойке</t>
  </si>
  <si>
    <t>20.05.Акт 1172 к 320 Засор канализации в мойке, прочищено</t>
  </si>
  <si>
    <t>20.05.Акт 1173 к 301-304 Засор канализации, устранено, прочищен центральный стояк</t>
  </si>
  <si>
    <t>22.05.Акт 1196 к506. Засор канализации в туалете, прочищено</t>
  </si>
  <si>
    <t>24.05.Акт 1209 к 209-210.Засор унитаза, прочищено</t>
  </si>
  <si>
    <t>30.05.Акт 1252 к 320 Засор унитаза в секции, прочищено</t>
  </si>
  <si>
    <t>03.05.Акт 1040 к 528 Нет света  на площадке левое крыло 5 этаж, замена лампочек 3шт</t>
  </si>
  <si>
    <t>05.05.Акт 1048 к 505,528 в туалете не включается свет, отказ от заявки</t>
  </si>
  <si>
    <t>11.05.Акт 1018 к215, не работают розетки, осмотрено требуется замена розетки.</t>
  </si>
  <si>
    <t>13.05.Акт 1124 к 508, заменить выключатель в секции, замена выключателя, замена лампочек 5 шт на этажах</t>
  </si>
  <si>
    <t>13.05.Акт 1125 Нет света на вахте. Замена лампочек 3 шт</t>
  </si>
  <si>
    <t>14.05.Акт 1136 нет света на 1 этаже. Замена 1 лампочки</t>
  </si>
  <si>
    <t>15.05.Акт 1141 к 228 нет света на площадке левое крыло, 2 этаж, замена лампочек</t>
  </si>
  <si>
    <t>19.05.Акт 1164 Нет света на 1 этаже, замена лампочек 3 шт</t>
  </si>
  <si>
    <t>21.05.Акт 1179 к 528 Не горит свет в большой коридоре, замена лампочек 1 шт</t>
  </si>
  <si>
    <t>21.05.Акт 1180 к 513, нет света в большом коридоре, замена лампочек 3 шт</t>
  </si>
  <si>
    <t>27.05.Акт 1221 к 202 Не работает патрон, осмотрено, был выключен выключатель в секции, включение выключателя</t>
  </si>
  <si>
    <t>27.05.Акт 1227 к 436 Нет света в коридоре 4 этаж. Замена лампочки 1 шт</t>
  </si>
  <si>
    <t>29.05.Акт 1242 На входе нет света. Замена 1 лампочки</t>
  </si>
  <si>
    <t>01.06.Акт 1258 к 320 Засор канализации, прочищено</t>
  </si>
  <si>
    <t>03.06.Акт 1269 к 102. Топят сверху. Осмотрено, собственикам к 202 необходимо провести замену гибкой подводки, временно перекрыт стояк</t>
  </si>
  <si>
    <t>06.06.Акт 1284 отдел пособий. Мокрый потолок, осмотрено</t>
  </si>
  <si>
    <t>10.06.Акт 1317 к 333, поставить кран в мойке. Требуется установка нового крана, кран заменен</t>
  </si>
  <si>
    <t>11.06.Акт 1324 к 313-316. Не держит клапан в унитазе. Устранено, подогнул арматуру в бачке унитаза</t>
  </si>
  <si>
    <t>13.06.Акт 1333 к 429-432 Течь воды из трубы в мойке. Осмотрено, необходимо заменить стояк и разводку</t>
  </si>
  <si>
    <t>26.06.Акт 1409 к 224 Забита раковина перед туалетом, устранено, прочищен сифон под раковиной</t>
  </si>
  <si>
    <t>28.06.Акт 1422 к 528 в умывальнике из под гусака бежит вода. Осмотрено, требуется замена резиновых колец на гусаке</t>
  </si>
  <si>
    <t>05.06.Акт 1273 к 331 Нет света в комнате. Осмотренол, выбило общий автомат в щите, устранено</t>
  </si>
  <si>
    <t>06.06.Акт 1282 к 202 В большом коридоре нет света, замена лампочек 2 шт</t>
  </si>
  <si>
    <t>06.06.Акт 1292 к 311 Перед туалетом не горит свет, Осмотрено, обслуживаем только МОП</t>
  </si>
  <si>
    <t>06.06.Акт 1291 к 311, в большом коридоре нет света. Замена лампочек 3 шт</t>
  </si>
  <si>
    <t>07.06.Акт 1302 к 505-508 сгорел выключатель в секции. Осмотрено, подключены к выключателю розетки, необходимо убрать несанкционированные подключения</t>
  </si>
  <si>
    <t>10.06.Акт 1318 к 419 Нет света в большом коридоре, замена лампочек 4 шт</t>
  </si>
  <si>
    <t>14.06.Акт 1346 к 528 В большом коридоре нет света. Замена лампочек 5 шт</t>
  </si>
  <si>
    <t>15.06.Акт 1349 к 501. Перегорели лампочки в коридоре. Замена лампочек</t>
  </si>
  <si>
    <t>17.06.Акт 1358 к 508 Установить выключатель в душевой. Осмотрено через выключатель подключена розетка в душевой от перегрузки выключатель сгорел</t>
  </si>
  <si>
    <t>22.06.Акт 1386 к 511 В большом коридоре нет света. Замена лампочек 3 шт</t>
  </si>
  <si>
    <t>23.06.Акт 1389 На входе нет света. Замена лампочек 3 шт</t>
  </si>
  <si>
    <t>25.06.Акт 1401 к 425. Нет света в секции.Ремонт патрона</t>
  </si>
  <si>
    <t>26.06.Акт 1405 к 305 Нет света на лестничной площадке.Замена лампочек 3 шт</t>
  </si>
  <si>
    <t>28.06.Акт 1420 2 этаж в большом коридоре нет света, замена лампочек 2 шт</t>
  </si>
  <si>
    <t>03.07.Акт 1446 закрыть правый люк на крыше, устранено, прибил крышку</t>
  </si>
  <si>
    <t>27.07.Акт 1580 к 101. Заделать дыру с улицы, лывй запасной выход. Направлено письмо собственнику (Администрация р.п.) с просьбой о принятии мер</t>
  </si>
  <si>
    <t>02.07.Акт 1439 Забита канализация в подвале. Прочищено</t>
  </si>
  <si>
    <t>03.07.Акт 1451 к 321 Засор раковины в мойке, устранено</t>
  </si>
  <si>
    <t>04.07.Акт 1462 к 513 Течь крана в мойке. Устранено, замена кранбуксы</t>
  </si>
  <si>
    <t>07.07.Акт 1475 к 311 в мойке капает вода по стене, на 4м этаже в душевой стоит вода, прочищено</t>
  </si>
  <si>
    <t>08.07.Акт 1477 к 309-312 Засор в душевой, льет сверху, прочищено</t>
  </si>
  <si>
    <t>08.07.Акт 1476 к 521-524 Поставить кран в мойке. Устранено, замена смесителя в мойке.</t>
  </si>
  <si>
    <t>10.07.Акт 1491 к 333 В мойке течет кран. Осмотрено, требуется замена резиновых колец на гусаке</t>
  </si>
  <si>
    <t>10.07.Акт 1492 к 528 в мойке бежит вода.Произведена замена резиновых колец на гусаке</t>
  </si>
  <si>
    <t>16.07.Акт 1516 отдел пособий. Не поступает вода в сливной бачок.Устранено, подогнало ржавщину под клапан</t>
  </si>
  <si>
    <t>16.07.Акт 1514 к 319 Засор унитаза. Прочищено тросом до стояка и ниже</t>
  </si>
  <si>
    <t>19.07.Акт 1532 к 324 Засор в мойке, прочищено тросом</t>
  </si>
  <si>
    <t>16.07.Акт бн к 311. Перед туалетом поменть кран в сливном бачке постоянно течет вода. Замена кранбуксы</t>
  </si>
  <si>
    <t>20.07.Акт 1542 к 324 Засор в мойке, прочищено</t>
  </si>
  <si>
    <t>20.07.Акт 1544 к 309. в душевой не работает кран в туалете в бачке постоянно бежит вода. Осмотрено, необходимо заменить арматуру смывного бачка</t>
  </si>
  <si>
    <t>20.07.Акт 1543 к 204. В умывальнике сверху топят, везде вода. Осмотрено, нужна замена гибких шлангов и крана нга стояке, кран перекрыт</t>
  </si>
  <si>
    <t>22.07.Акт 1553 к 528 в мойке снизу бежит вода. Устранено, заменены уплотнительные колечки на гусаке</t>
  </si>
  <si>
    <t>29.07.Акт 1579 к 409. Течь внизу под унитазом. Осмотрено, нужно купить герметик из сливного бочка подтекает</t>
  </si>
  <si>
    <t>31.07.Акт 1603 к 329-333 Ремонт водопровода, устранено, течь устранена</t>
  </si>
  <si>
    <t>02.07.Акт 1445 к 511 Заплавилась розетка. Осмотрено, нужна замена розетки</t>
  </si>
  <si>
    <t>03.07.Акт 1450 к 408.Нет света в общем коридоре на 4этаже. Замена 2 лампочек</t>
  </si>
  <si>
    <t>07.07.Акт 1472 к 511 Нет светат в секции. Замена лампочек 5 шт в секции и на этажах</t>
  </si>
  <si>
    <t>08.07.Акт 1474 На входе нет света. Произведена замена лампочки</t>
  </si>
  <si>
    <t>12.07.Акт 1499 к 228 в большом коридоре нет света. Замена лампочки</t>
  </si>
  <si>
    <t>09.07.Акт 1484 к326. Нет света в коридоре. Замена лампочек 2 шт</t>
  </si>
  <si>
    <t>17.07.Акт 1525 к 324 Заменить патрон.Замена подвесного патрона 1 шт</t>
  </si>
  <si>
    <t>15.07.Акт 1512 к 427 Нет света в туалете, мойке, замена лампочек 2шт</t>
  </si>
  <si>
    <t>21.07.Акт 1547 1 этаж. Нет света. Замена 2 х лампочек</t>
  </si>
  <si>
    <t>24.07.Акт 1563 к 427 Нет света в коридоре.Замена лампочек 3 шт</t>
  </si>
  <si>
    <t>25.07.Акт 1567 на 1 этаже нет света.Замена 3 лампочек</t>
  </si>
  <si>
    <t>26.07.Акт 1568,1569 к 528 ,527В коридоре нет света. Замена 3х лампочек</t>
  </si>
  <si>
    <t>28.07.Акт 1576 не горит свет при входе. Замена 1 лампочки</t>
  </si>
  <si>
    <t>29.07.Акт 1586 При входе не горит лампочка, замена лампочки</t>
  </si>
  <si>
    <t>01.08.Акт 1611 КЦСОН сверху топит коридор, осмотрено не закрыт кран в туалете секции 201-204</t>
  </si>
  <si>
    <t>03.08.Акт 1624 к 420 Забита канализация в туалете. Осмотрено, требуется замена клапана для подачи воды</t>
  </si>
  <si>
    <t>05.08.Акт 1631 к 420 Поменять шланг на сливной бачок. Установлена гибкая подводка</t>
  </si>
  <si>
    <t>05.08.Акт 1630 В подвале забита канализация, засор в центральной канализации в зоне отвественности Аква-терминал</t>
  </si>
  <si>
    <t>08.08.Акт 1651 центра реабилитации, топят соседи сверху, осмотрено, пролили воду в туалете</t>
  </si>
  <si>
    <t>09.03.Акт 554 к 309 Топят соседи сверху. Перекрыта подача воды по стоякам. Течь воды не обнаружена</t>
  </si>
  <si>
    <t>10.03. Открыта подача воды</t>
  </si>
  <si>
    <t>11.03.Акт 581 к 309 Топят соседи сверху. Осмотрено, перекрыт стояк отопления</t>
  </si>
  <si>
    <t>12.03. Отключение батареи</t>
  </si>
  <si>
    <t>14.08.Акт 1683 к 224  В мойке по стене бежит вода. Осмотрено, течь крана в мойке к 324, течь конденсата с трубы на пол на стену</t>
  </si>
  <si>
    <t>19.08.Акт 1682 к 332 Предтуалеткник заливает водой. Нет доступа в секцию, устранено, мойка отключена</t>
  </si>
  <si>
    <t>21.08.Акт 1700 к 204 Топит секция сверху, Осмотрено, течи не обнаружено</t>
  </si>
  <si>
    <t>26.08.Акт 1723 к 505-508 В большом умывальнике засор раковины , прочищено</t>
  </si>
  <si>
    <t>25.08.Акт к 214 с 3 этажа льет вода по канализационному стояку, осмотрено, временно устранено, нужно менять тройник д 50</t>
  </si>
  <si>
    <t>29.08.Акт 1743 к 214 С потолка капает сверху к 314. Осмотрено, в к314 протеканий нет</t>
  </si>
  <si>
    <t xml:space="preserve">29.08.Акт 1744 к 513 плохой напор воды. Произведена очистка фильтра грубой очистки </t>
  </si>
  <si>
    <t>29.08.Акт 1745 реаб.центр,топят сверху. Осмотрено, был открыт кран, кран закрыли</t>
  </si>
  <si>
    <t>29.08.Акт 1746 к 431 Засор канализации в мойке, прочищено тросом</t>
  </si>
  <si>
    <t>29.08.Акт 1749 к 320 Поставить сифон на раковину, сифон установлен</t>
  </si>
  <si>
    <t>30.08.Акт 1755 к 320 В сливной бачок не поступает вода, осмотрено забит клапан для подачи воды, устранено</t>
  </si>
  <si>
    <t>03.08.Акт 1626 к 528 Неи света на лестнице, замена лампочки 1 шт</t>
  </si>
  <si>
    <t>05.08.Акт 1637 Нет света на 4 этаже. Замена подвесного патрона 1 шт</t>
  </si>
  <si>
    <t>11.08.Акт 1664 к 436 В большом коридоре нет света. Замена лампочек 3 шт</t>
  </si>
  <si>
    <t>11.08.Акт 1663 к 511 Нет света  в большом и маленьком коридоре. Замена 5 лампочек</t>
  </si>
  <si>
    <t>13.08.Акт 1676 вахта, перегорела лампочка, замена лампочки 1 шт</t>
  </si>
  <si>
    <t>20.08.Акт 1683 нет света на 1 этаже. Замена лампочек 1шт</t>
  </si>
  <si>
    <t>22.08.Акт 1721 к 528 Нет света в большом коридоре. Замена лампочек 5шт</t>
  </si>
  <si>
    <t>27.08.Акт 1727 к 214 нет света на 2 этаже. Замена лампочек 3 шт</t>
  </si>
  <si>
    <t>18.09.Акт 1905 Плановый ремонт крыльца. Укладка бетонной плиты на ступеньки крыльца</t>
  </si>
  <si>
    <t xml:space="preserve">04.09.Акт 1818 к 315. При плановой промывке системы отопления, произошло затопление к 315 через открытый водоразборный кран на чугунном радиаторе, </t>
  </si>
  <si>
    <t>23.09.Акт 1956 к 521 Течет стояк отопления. Устранено</t>
  </si>
  <si>
    <t>24.09.Акт 2006 к 513,534 Холодный стояк. Стояк перепущен</t>
  </si>
  <si>
    <t>01.09.Акт 1763 к 321-324 Нет воды в мойке, устранено</t>
  </si>
  <si>
    <t>02.09.Акт 1774 к 224 В мойке плохой напор, устранено</t>
  </si>
  <si>
    <t>03.09.Акт 1801 к 323 Плохой напор воды. Был забит вентиль на стояке</t>
  </si>
  <si>
    <t>05.09.Акт 1821 к 306 Засор канализации в душе. Прочищено</t>
  </si>
  <si>
    <t>08.09.Акт 1834 к 306 Забит  стояк, пробил стояк</t>
  </si>
  <si>
    <t>12.09.Акт 1872 к 502. В мойке в раковине стоит вода. Прочистка и промывка сифона под раковиной</t>
  </si>
  <si>
    <t>12.09.Акт 1865 к 302 Засор в душе, стоит воды, прочищено</t>
  </si>
  <si>
    <t>13.09.Акт 1878 к 408 В душевой комнате стоит вода, устранено</t>
  </si>
  <si>
    <t>19.09.Акт 1911 к 517. Засор унитаза, устранено, прочищен центральный стояк</t>
  </si>
  <si>
    <t>23.09.Акт 1959 пенс фонд. Поставить в туалете кран, произведена замена смесителя в мойке</t>
  </si>
  <si>
    <t>23.09.Акт 1960 к 217 В сливной бачок не поступает вода, требуется замена арматуры в бачке</t>
  </si>
  <si>
    <t>25.09.Акт 1985 к 511. Засор раковины в мойке, устранено</t>
  </si>
  <si>
    <t>26.09.Акт 2056 к 425-426 Не работает смывной бачок, нет дома никого, устранено, был оторан клапан</t>
  </si>
  <si>
    <t>27.09.Акт 1996 к 508 Замена унитаза. Унитаз установлен</t>
  </si>
  <si>
    <t>29.09.Акт 2034 к 405-408 Засор канализации, пробили сами, осмотрено</t>
  </si>
  <si>
    <t>29.09.Акт 2038 к 432 Не поступает вода в сливной бачок. Нет никогодома, устранено, прочищен клапан</t>
  </si>
  <si>
    <t>01.09.Акт 1764 к 528 Нет света на 5 этаже и лестничной площадке. Замена ламочек 3 шт</t>
  </si>
  <si>
    <t>09.09.Акт 1837 к 503 Нет света в туалете. Ремонт патрона, замена лампочки</t>
  </si>
  <si>
    <t>09.09.Акт 1841 вахта. Нет света на 1 этаже. Замена лампочек 3 шт</t>
  </si>
  <si>
    <t>09.09.Акт 1838 к 202 Нет света в общем коридоре. Замена лампочек 2 шт</t>
  </si>
  <si>
    <t>12.09.Акт 1856 вахта. На крыльце нет света. Замена лампочки 1 шт</t>
  </si>
  <si>
    <t>13.09.Акт 1874 к 511 Нет света на 5 этаже. Замена лампочек 5 шт</t>
  </si>
  <si>
    <t>13.09.Акт 1876 Нет света на 1 этаже. Замена 1 лампочки</t>
  </si>
  <si>
    <t>13.09.Акт 1877 к 502. Нет света в мойке. Осмотрено, лампа дневногосвета, нет дома</t>
  </si>
  <si>
    <t>20.09.Акт 1931 к 228 Нет света в коридоре, замена лампочек 2 шт</t>
  </si>
  <si>
    <t>20.09.Акт 1927 к 528 На лестничной клетке нет света. Заме6на лампочек 3 шт</t>
  </si>
  <si>
    <t>24.09.Акт 1974 Туалет. Перегорела лампочка, замена лампочек  2шт</t>
  </si>
  <si>
    <t xml:space="preserve">24.09.Акт 1982 к 508 В туалете поврежден патрон, ремонт патрона </t>
  </si>
  <si>
    <t>25.09.Акт 1972 к 513,517 плохое напряжение в комнате, замена автоматов в щите 25А 2 шт</t>
  </si>
  <si>
    <t>25.09.Акт 1973 к 528 Нет света на лестничной площадке, замена лампочек 5 шт</t>
  </si>
  <si>
    <t>29.09.Акт 2031 к 320 Установить патрон в секции, убрать лампу дневного света. Установка подвесного патрона, демонтаж лампы дневного света</t>
  </si>
  <si>
    <t>30.09.Акт 2036 к 427 Не исправный патрон в комнате. Осмотрено, сгорела люстра</t>
  </si>
  <si>
    <t>30.09.Акт 2078 к 428 На лестничной клетке нет света. Замена лампочек 5 шт</t>
  </si>
  <si>
    <t>17.10.Акт 2204 входная дверь. Ремонт входной двери, установка пружин</t>
  </si>
  <si>
    <t>16.10.Акт 2235 к 319 Батареи чуть теплые., устранено, стояки перепущены, стояк прогрелся</t>
  </si>
  <si>
    <t>05.10.Акт 2102 к 320 Холодные батареи, перепуск стояков</t>
  </si>
  <si>
    <t>04.10.Акт 2089 к 320. Холодная батарея. Перепущен стояк отопления</t>
  </si>
  <si>
    <t>04.10.Акт 2098 к 525-526 Холодные батареи, перепупущено</t>
  </si>
  <si>
    <t>03.10.Акт 2171 к 320, засор унитаза, устранено</t>
  </si>
  <si>
    <t>04.10.Акт 2133 Заменить арматуру в бачке, заменено</t>
  </si>
  <si>
    <t>04.10.Акт 2090 к 320. Засор унитаза , прочищено</t>
  </si>
  <si>
    <t>06.10.Акт 2113 Засор в подвале. Прочищено тросом лежака канализации в подвале</t>
  </si>
  <si>
    <t>11.10.Акт 2162 Плановый осмотр подвальных помещений. Засор канализации в подвале, прочищено, продезинфикципровано</t>
  </si>
  <si>
    <t>14.10.Акт 2201 к302. Не поступает вода в предтуалетник в мойку, засор гибкой подводки</t>
  </si>
  <si>
    <t>19.10.Акт 2229 к 217 Течь гибкой подводки от отопительного прибора. Перекрыт кран</t>
  </si>
  <si>
    <t>19.10.Акт 2230 к 304 Нет воды в мойке. Произведена продувка гибкой подводки</t>
  </si>
  <si>
    <t>22.10.Акт 2245 Засор канализации в подвале. Устранено</t>
  </si>
  <si>
    <t>23.10.Акт 2255 к 508 Установить арматуру в бачок, установка арматуры и гибкой подводки</t>
  </si>
  <si>
    <t>26.10.Акт 2269 к 306 Неисправен унитаз, топит туалет. Перекрыто 2 стояка в подвале, стояки открыты</t>
  </si>
  <si>
    <t>27.09.Акт 2030 к 511. В мойке под раковиной подтекает труба, осмотрено, требуется замена смесителя, гибкой подводки</t>
  </si>
  <si>
    <t>29.10.Акт 2286 топит туалет сверху. Прочищено тросом через ревизии на 1 этаже - тряпки</t>
  </si>
  <si>
    <t>29.10.акт 2291 к 306. Подтекает труба за унитазом, осмотрено, требуется замена крана на бачок</t>
  </si>
  <si>
    <t>30.10.Акт 2290 к 229, вода капает сильно под раковиной, осмотрено, требуется замена гибкой подводки</t>
  </si>
  <si>
    <t>31.10.Акт 2300 к 404 Засор канализации в мойке. Прочищено тросом до стояка</t>
  </si>
  <si>
    <t>09.10.Акт 2138 к 301 В мойке неисправен патрон. Ремонт патрона</t>
  </si>
  <si>
    <t>12.09.Акт 1866  правое крыло между 2,3 этаж ами нет стекла. Остекление произведено поликарбанатом</t>
  </si>
  <si>
    <t>14.10.Акт 2182 к 205-208 В большом коридоре нет света. Замена лампочки 1 шт</t>
  </si>
  <si>
    <t>14.10.Акт 2186 к 528 На лестничной площадке нет света. Замена лампочек 3 шт</t>
  </si>
  <si>
    <t>16.10.Акт 2200 к 523,419,102,324,319,321 и др. Частично нет э/э . Замена плавкой вставки 250А</t>
  </si>
  <si>
    <t>16.10.Акт 2195 фойе, перегорела лампочка, замена лампочки 1 шт</t>
  </si>
  <si>
    <t>18.10.Акт 2216 к 311. В мойке нет света. Осмотрено в мойке стоит лампа дневного света, свет есть</t>
  </si>
  <si>
    <t>18.10.Акт 2220 к 313 3 этаж в коридоре нет света., замена 2 лампочек</t>
  </si>
  <si>
    <t>21.10.Акт 2231 вахта, нет света на входе. Замена 1 лампочки</t>
  </si>
  <si>
    <t>23.10.Акт 2256 к 311 Заменить патрон в душевой, замена подвесного патрона</t>
  </si>
  <si>
    <t>07.11. Акт 2454 Нет стекла между 4м и 5м этажами. Остекление  поликарбонатом</t>
  </si>
  <si>
    <t>12.11. Акт 2501 на лестничной площадке между 1 и 2 этажом разбита форточка. Произведена замена стекла на лестничной площадке</t>
  </si>
  <si>
    <t>28.11. Акт 2694 , разблокировать люк, люк разблокирован, закрыт на замок, ключ у диспетчера</t>
  </si>
  <si>
    <t>02.11.Акт 2323 к 325. Заменить канализационный стояк, устранено, стояк заменен 04.11</t>
  </si>
  <si>
    <t>05.09.Акт 1822 к 528, лопнул канализационный стояк в туалете. Осмотрено, лопнул стояк, необходимо заменить 1 м канализационной трубы. Замена стояка 2 м</t>
  </si>
  <si>
    <t>07.11.Акт 2451 к 415 непрерывно в сливной бачок поступает вода. Осмотрено, требуется замена клапана с нижней подводкой</t>
  </si>
  <si>
    <t>07.11.Акт 2450 к 302 Засор унитаза, прочищен тросом стояк, посторониие предметы- тряпки</t>
  </si>
  <si>
    <t>07.11.Акт 2449 соцзащита. Поравло трубу, засор стояка канализации, прочищено тросом</t>
  </si>
  <si>
    <t>08.11.Акт 2462 Плановый осмотр подвалов. Осмотрено, засор канализации в подвале, прочищено</t>
  </si>
  <si>
    <t>11.11.Акт 2483,2489 к 430-435 В предтуалетнике засор канализации, устранено, прочистили тросом</t>
  </si>
  <si>
    <t>11.11.Акт 2488 в подвале стоит канализация, устранено, прочистили тросом</t>
  </si>
  <si>
    <t>12.11.Акт 2516 центр реаб. Топят сверху. Осмотрено, засор канализации, прочищено</t>
  </si>
  <si>
    <t>15.11. Акт 2558 Плановый осмотр канализации, осмотрено, замечаний нет</t>
  </si>
  <si>
    <t>16.11.Акт 2572  к 411 душевая заливает 309-312. . Осмотрено с душевых кабин четвертого этажа произошел заток на 3 этаж. Проведена прочистка душевой канализации  421-424 секции</t>
  </si>
  <si>
    <t>18.11.акт 2573 реаб.центр.Топят сверху. Прочистка тросом стояка канализации постороние предметы - тряпки</t>
  </si>
  <si>
    <t>19.11.Акт 2585. Плановый осмотр подвалов, осмотрено, замечаний нет</t>
  </si>
  <si>
    <t>20.11.Акт 2598 Плановый осмотр подвалов, осмотрено течи нет</t>
  </si>
  <si>
    <t>20.11. Акт 2606 к 401. Топят сверху соседи. Устранено</t>
  </si>
  <si>
    <t>21.11. Акт 2612 к 513. Засор унитаза. Устранено</t>
  </si>
  <si>
    <t>25.11.Акт 2625 к 507. Течет батарея в комнате. Устранено, кран заменен.</t>
  </si>
  <si>
    <t>27.11.Акт 2960 Плановый обход подвальных помещений. Осмотрено, течьб канализации не обнаружена</t>
  </si>
  <si>
    <t>28.11.Акт 2680 к 217-220 Течь воды из сливного бака в унитаз. Устранено</t>
  </si>
  <si>
    <t>02.11.Акт 2319 вахта. Нет света. Замена лампочки</t>
  </si>
  <si>
    <t>05.11.Акт 2380 правое крыло, нет света, замена лампочки</t>
  </si>
  <si>
    <t>06.11.Акт 2385 нет света на 5 этаже. Замена 2х лампочек</t>
  </si>
  <si>
    <t>08.11.Акт 2473 к 408, нет света в общем коридоре.Замена лампочки</t>
  </si>
  <si>
    <t>12.11.акт 2518 вахта, нет света в коридоре. Замена лампочек 1 шт</t>
  </si>
  <si>
    <t>13.11.акт 2534 к 529 Неисправен патрон в секции, замена подвесного патрона 1 шт</t>
  </si>
  <si>
    <t>23.11.Акт 2665 к 235 в коридоре нет света, устранено замена 4х лампочек</t>
  </si>
  <si>
    <t>23.11.Акт 2663 к 416 В секции нет света. Замена 4 лампочек</t>
  </si>
  <si>
    <t>24.11.Акт 2637. к525-528 Обрезать розетку в душевой. Обрезал несанкционированную розетку в 505-508</t>
  </si>
  <si>
    <t>26.11.Акт 2648 к 412. Нет э/э в комнате, осмотрено, выключен автома, включено</t>
  </si>
  <si>
    <t>27.11.Акт 2683 к 528 нет света на лестничной площадке, замена 1 лампочки</t>
  </si>
  <si>
    <t>28.11.Акт 2681 к 412. Нет света в комнате. Осмотрено, выбило автомат, включено</t>
  </si>
  <si>
    <t>29.11.Акт 2700 к 412. Выбивает автомат. Замена автомата 25А-1шт</t>
  </si>
  <si>
    <t>29.11.Акт 2717 к 511, нет света в общем коридоре. Замена лампочек 6 шт</t>
  </si>
  <si>
    <t>10.12.Акт 2819  вахта. Замена деревянного пола, на линолеум 2 м2</t>
  </si>
  <si>
    <t>13.12.Акт 2857 к 513 Закрыть люк на крышу правое крыло. Люк закрыт на замок</t>
  </si>
  <si>
    <t>26.12.Акт 2901  Укрепление двери спортзала, установка  петель для замка</t>
  </si>
  <si>
    <t>24.12.Акт 2918 реаб.центр. Заменить кран на системе отопления, выполнено</t>
  </si>
  <si>
    <t>02.12.Акт 2732 Засор канализации в подвале, устранено, прочищено тросом</t>
  </si>
  <si>
    <t>02.12.Акт 2740  к 507,525 Засор раковины в мойке, прочищено</t>
  </si>
  <si>
    <t>06.12.Акт 2780 Плановый осмотр подвала. Осмотрено, нарушения подвальных коммуникаций не обнаружено</t>
  </si>
  <si>
    <t>08.12.Акт 2794 Плановый осмотр подвалов, осмотрено, замечаний нет</t>
  </si>
  <si>
    <t>11.12.Акт 2825 Плановый осмотр подвала. Осмотрено, засор канализации, устранено</t>
  </si>
  <si>
    <t>12.12.Акт 2841 Плановый осмотр подвалов, осмотрено, замечаний нет</t>
  </si>
  <si>
    <t>13.12.Акт 2850 Демонтаж ОДН (вода), демонтирован, прочищена крыльчатка, установлен на место</t>
  </si>
  <si>
    <t>13.12.Акт 2849 Плановый осмотр подвала, засор канализации, прочищено</t>
  </si>
  <si>
    <t>13.12.Акт 2860 к 206 Постоянно течет из сливного бочка, устранено не перекрывал клапан, подогнало грязь</t>
  </si>
  <si>
    <t>14.12.Акт 2862 к 306-308 Плохой напор воды в мойке, прочищено, была забита гибкая подводка</t>
  </si>
  <si>
    <t>14.12.Акт 2870, 2863к 320 Не поступает вода в сливной бачок, нет воды в мойке, осмотрено, нужно перепаять тройник после крана, Перепаяно</t>
  </si>
  <si>
    <t>18.12.Акт 2896 к 313-316 Плохо поступает вода в унитаз, в мойку, водоснабжение восстановлено</t>
  </si>
  <si>
    <t>18.12.Акт 2908 к 403-404 Засор канализации в мойке, прочищено</t>
  </si>
  <si>
    <t>19.12.Акт 2914 к 403 Засор канализации в мойке, устранено</t>
  </si>
  <si>
    <t>20.12.Акт 2926 Плановый осмотр подвалов, осмотрено, замечаний нет</t>
  </si>
  <si>
    <t>23.12.Акт 2950 Плановый осмотр подвалов, осмотрено, течи нет</t>
  </si>
  <si>
    <t>27.12.Акт 2915 Плановый осмотр подвалов, осмотрено</t>
  </si>
  <si>
    <t>30.12.Акт 2930 Плановый осмотр подвалов, осмотрено, замечаний нет</t>
  </si>
  <si>
    <t>30.12.Акт 2943 к 403 Засор канализации в мойке, устранено, прочистили тросом</t>
  </si>
  <si>
    <t>04.12.Акт 2761 1 этаж, нет света. Замена лампочки 1 шт</t>
  </si>
  <si>
    <t xml:space="preserve">04.12.Акт 2770 3 этаж нет света. Замена лампочек 3 шт </t>
  </si>
  <si>
    <t>06.12.Акт 2786 соцзащита, установить плафон, замена светильника</t>
  </si>
  <si>
    <t>07.12.Акт 2796 к 305 Нет света на 3 этаже замена лампочек 6 шт</t>
  </si>
  <si>
    <t>07.12.Акт 2792 Засор канализации в подвале, устранено</t>
  </si>
  <si>
    <t>10.12.акТ 2806 К432. Нет света, замена лампочек 4 шт</t>
  </si>
  <si>
    <t>15.12.Акт 2871 к 314 Нет света на 3 этаже. Замена лампочек 2 шт</t>
  </si>
  <si>
    <t>18.12.Акт 2902 Переоборудование освещения в подвале. Установка автомата 25А- 1 шт, бокс под автомат, кабель 10м, патрон настенный, лампочки 5 шт</t>
  </si>
  <si>
    <t>20.12.Акт 2955 Нет света на крыльце, в туалете, коридоре, замена лампочек 3 шт, замена патрона подвесного 1 шт</t>
  </si>
  <si>
    <t>22.12.Акт 2957 к 301 Нет света в мойке, замена лампочки 1 шт</t>
  </si>
  <si>
    <t>30.10.Акт 2303 к 511 Нет света на 5 этаже, замена 3х лампочек</t>
  </si>
  <si>
    <t>11.12.Акт 2813 Засор канализации в подвале, прочищено тросом по лежаку до колодца</t>
  </si>
  <si>
    <t>жилого дома   № 11 а по улице  Пушкина   за 2013 год</t>
  </si>
  <si>
    <t>28.01.Акт 208  кв 19, течь воды с крыши в детской комнате. Осмотреть не удалось, нет дома никого</t>
  </si>
  <si>
    <t>21.01. Выполнены работы по подключению водосчетчиков</t>
  </si>
  <si>
    <t>21.01.Акт 140 кв 45. Засор унитаза. Устранено, прочистили унитаз до центрального стояка вручную</t>
  </si>
  <si>
    <t>10.01.Акт 46 кв 4 Нет света в коридоре, замена лампочек 6 шт</t>
  </si>
  <si>
    <t>21.01.Акт 142 кв 52  Нет света  в подъезде. Замена лампочек 5 шт</t>
  </si>
  <si>
    <t>28.01.Акт к209 кв.59 Выбивает автомат в щите. Замена автомата 25А 1 шт</t>
  </si>
  <si>
    <t>08.02.Акт 282 кв 59. В квартире запах канализации, устранено, прочистили вентиляцю на крыше</t>
  </si>
  <si>
    <t>15.02.Акт 335 кв59 Запах канализации в квартире. Прочистили  вентиляцию на крыше канализации</t>
  </si>
  <si>
    <t>12.02.Акт 308 Засор кухонного стояка в подвале. Прочищено тросом до лежака, по остальным системам нарушений не обнаружено</t>
  </si>
  <si>
    <t xml:space="preserve">14.02.Акт 325 3 подъезд нет света, замена лампочек 3 шт </t>
  </si>
  <si>
    <t>18.02.Акт 362 Нет света в подъездах. Замена лампочек 12 шт</t>
  </si>
  <si>
    <t>18.02.Акт 363 кв 2 В щитовой выбивает автомат. Замена автомата 25А 1 шт</t>
  </si>
  <si>
    <t>03.03.Акт 496 кв57 Течет с крыши вода попадает в плафон ванной, осмотрено, требуется очистить ливневку</t>
  </si>
  <si>
    <t>03.03.Акт 497 кв.57. Протекает крыша. 04.03. Проведены работы по очистке крыши от снега и прочистке внутренних сливов</t>
  </si>
  <si>
    <t>04.03.Акт 502 кв 59. Сильный запах канализации.Прочищена вытяжная канализация на крыше по всему дому</t>
  </si>
  <si>
    <t>14.03.Акт 604 Плановые работы, очистка водостоков</t>
  </si>
  <si>
    <t>15.03.Акт 623 кв.59. Бежит с потолка. Обследовано, обнаружена дыра</t>
  </si>
  <si>
    <t xml:space="preserve">19.03.Акт 660 кв.2 Протекание во внешнему шву. Обследовано, необходимо отогнуть металлические отливы на балконе хозяину квартиры  </t>
  </si>
  <si>
    <t>29.03.Акт 750 кв 2 Заделать межпаненльный шов, устранено, шов запенен</t>
  </si>
  <si>
    <t>29.03.Акт 754 кв.59 Осмотр крыши внутренних сливов. Осмотрено, прочистка ливневки, запенен шов над 59 квартирой</t>
  </si>
  <si>
    <t>13.03.Акт 602 кв.4. Засор канализации в подвале, пробить слив на кухне</t>
  </si>
  <si>
    <t>04.03.Акт 512  Нет света в 3м подъезде, замена лампочек 3 шт</t>
  </si>
  <si>
    <t>04.03.Акт 566 Нет света в подъездах, замена лампочек 5 шт</t>
  </si>
  <si>
    <t>26.03.Акт 712 1 подъезд нет света. Замена лампочек 6 шт</t>
  </si>
  <si>
    <t>26.03.Акт718 кв.27 нет света в подъезде, замена лампочек 10 шт</t>
  </si>
  <si>
    <t>27.03.Акт 720 кв.39 Сгорел пакетник. Установка автомата 1 шт</t>
  </si>
  <si>
    <t>29.03.Акт 753 кв.1. Нет света в квартире. Замена автомата 25А 1 шт</t>
  </si>
  <si>
    <t>30.04.Акт 1033 Плановый осмотр крыши. Осмотрено, сливные трубы работают исправно</t>
  </si>
  <si>
    <t>04.04.Акт 803 Плановый осмотр подвалов, осмотрено в  подвале сухо</t>
  </si>
  <si>
    <t>12.04.Акт 885 кв 57. Нет воды в ванной, засорено, почистил</t>
  </si>
  <si>
    <t>16.04.Акт 916 кв 53 Бежит на кухне вода с водопогревателя, надо перекрыть воду. Выполнено</t>
  </si>
  <si>
    <t>18.04.Акт 934а кв53. Устранить течь на системе хвс, сделали сами</t>
  </si>
  <si>
    <t>23.04.Акт 974 Плановый осмотр подвалов, нарушений работы подвальных коммуникаций не обнаружено</t>
  </si>
  <si>
    <t>29.04.Акт 1024 кв2. Прогнил стояк хвс, стояк заварен</t>
  </si>
  <si>
    <t>15.04.Акт 900 кв 42. Отремонтировать розетку в ванной. Замена розетки</t>
  </si>
  <si>
    <t>18.04.Акт 933 кв 31, моргает свет и отключаются автоматы, замена автомата 25А 1 шт</t>
  </si>
  <si>
    <t>12.05. Акт 1122 кв.17 Течь воды с крыши в коридоре, прочистил слив</t>
  </si>
  <si>
    <t>17.05.Акт 1150 Засор ливневки. Произведена прочистка водостока  чердачного помещения</t>
  </si>
  <si>
    <t>18.04.Акт 940 3 подъезд нет света. Замена лампочек 6 шт</t>
  </si>
  <si>
    <t>16.04.Акт 910 3 подъезд нет света. Замена лампочек   18.04</t>
  </si>
  <si>
    <t>17.04.Акт 919 3 подъезд, нет света, замена лампочек  18.04</t>
  </si>
  <si>
    <t>20.05.Акт 1209а Открыть подвальные окна, открыли</t>
  </si>
  <si>
    <t>20.05. Акт 1169 Плановый осмотр подвалов. Осмотрено в подвале сухо.</t>
  </si>
  <si>
    <t>06.05.Акт 1061 Плановый осмотр подвалов. Нарушений работы подвальных коммуникаций не обнаружено</t>
  </si>
  <si>
    <t>08.05.Акт 1085 Плановый осмотр внутренних сливов, инженерных сетей в подвале, осмотрено</t>
  </si>
  <si>
    <t>30.05.Акт 1249 кв.59. Запах канализации в туалете, осмотрено</t>
  </si>
  <si>
    <t>12.05.Акт 1120 кв.18. Нет света в квартире, устранено</t>
  </si>
  <si>
    <t>28.05.Акт 1237 3 подъезд Нет света в тамбуре, 2,4 этаж. Замена лампочек 4 шт</t>
  </si>
  <si>
    <t>11.06.Акт 1321 кв.59. Заделать межпаненльный шов. Произведена зачистка межпанельного шва от раствора и запенивание с автовышки</t>
  </si>
  <si>
    <t>02.06.Акт 1259 кв.53 Течь воды из трубы в туалете. Осмотрено, нужен сгон и муфта д 15</t>
  </si>
  <si>
    <t>19.06.Акт 1368 кв.29 Поменять стояк, устранено запенили стояк холодной воды</t>
  </si>
  <si>
    <t>19.06.Акт 1367 кв.21. Поменять кран на стояке.  Не попали в квартиру</t>
  </si>
  <si>
    <t>24.06. кв.21, замена крана на стояке</t>
  </si>
  <si>
    <t>17.07.Акт 1535 кв.20. Залило квартиру с крыши. Осмотрено, проведена ревизия лотка, приемная воронка чистая</t>
  </si>
  <si>
    <t>22.07.Акт 1552 кв.3. Заделка межплиточного шва. Устранено, заделан шов на улице</t>
  </si>
  <si>
    <t>16.07.Акт 1534 кв.42. Течь отопительного прибора. Слив воды со стояка, ремонт стояка отопления, газосварка, поменял отопление</t>
  </si>
  <si>
    <t>29.07.Акт 1583 2 подвал. Произведена замена манжеты и заглушки на канализации</t>
  </si>
  <si>
    <t>05.07.Акт 1464 кв.16.Выбивает автомат. Замена автомата 25А-1шт, протяжка контактов в щите</t>
  </si>
  <si>
    <t>31.07.Акт 1601 кв.21. Выбивает автома, замена автомата 25А 1 шт</t>
  </si>
  <si>
    <t>13.08.Акт 1686 кв.17. Бежит вода с крыши в коридоре через э/проводку. Проведена обработка  мест присоединения (примыкания плиты покрытия с лотком) жидким рубероидом над квартирой № 17</t>
  </si>
  <si>
    <t>02.08.Акт 1620 2 подвал, засор канализации во 2 подвале. Устранено, прочищено до колодца</t>
  </si>
  <si>
    <t>21.08.Акт 1699 кв.45 Топят нижнюю квартиру. Осмотрено, забита канализация. Необходимо переустановить унитаз с заменой гофры и дополнительной герметизацией протеканите в зоне ответственности собственника</t>
  </si>
  <si>
    <t>22.08.Акт 1737 кв.48. Забит центральный стояк. Устранено прочистка центрального канализационного стояка  на кухне</t>
  </si>
  <si>
    <t>05.08.Акт 1632 2 подъезд , нет света вподъезде. Замена лампочек 12 шт</t>
  </si>
  <si>
    <t>23.08.Акт 1722 кв.60 В щитке расплавилась клипса. Ревизия э/щита, замена автоматов 40А 2 шт, провода АПВ 1х6 1м</t>
  </si>
  <si>
    <t>06.09.Акт 1831 Уборка помещений теплового узла</t>
  </si>
  <si>
    <t>11.03. Акт 883 кв.59. Провис шов на 5м этаже. Со стремянки сбить штукатурку из шва, все за собой убрать. Выполнено, мусор убрали</t>
  </si>
  <si>
    <t>23.09.Акт 1950 Закрыть окна в подвале. Окна закрыты</t>
  </si>
  <si>
    <t>25.09.Акт 1977 кв.59. Ремонт козырька лоджии. Промазка жидким битумом крепления козырька к стене, работа спецавтомобиля 1,5часа</t>
  </si>
  <si>
    <t>18.09.Акт 1900 кв.9. Укрепление батареи. Слесарные работы по укреплению батареи</t>
  </si>
  <si>
    <t>25.09.Акт 2010 Холодные стояки кв.29,1,21. Перепуск стояков</t>
  </si>
  <si>
    <t>04.09.Акт 1808 кв.5. Замена стояка полотенцесушителя в ванной комнате 2 п.м.</t>
  </si>
  <si>
    <t>05.09.Акт 1824 кв.24. Засор канализации на кухне. Пробивка тросом стояка  канализации (кухонного)</t>
  </si>
  <si>
    <t>06.09.Акт 1829 кв.24. Замена унитаза. Произведена замена унитаза</t>
  </si>
  <si>
    <t>14.09.Акт 1904 кв.24. Заменить стояк хвс. Произведена замена стояка хвс из подвала до потолка 8 п.м.</t>
  </si>
  <si>
    <t>03.09.Акт 1800 кв.56 Нет света 3 подъезд. Замена лампочек 8 шт</t>
  </si>
  <si>
    <t>08.09.Акт 1835 кв.21. Нет света, выбивает автомат. Осмотрено, замкнуло пакетный выключатель, установка автомата 40А 1 шт</t>
  </si>
  <si>
    <t>28.09.Акт 2032 кв.37. Нет света в квартире. Осмотрено выбило автомат на 1 этаже, устранено</t>
  </si>
  <si>
    <t>29.09.Акт 2026 кв 32,16. Нет света в квартирах. Осмотрено, сгорел вводной рубильник. Дом перключен на резервный</t>
  </si>
  <si>
    <t>14.10.Акт 2188 кв.7. Поменять стояк отопления(бежит в перекрытии). Замена стояка отопления 15.10.</t>
  </si>
  <si>
    <t>10.10.Акт 2147 плановый осмотр подвалов. Осмотрено, нарушений работы подвальных коммуникаций не обнаружено.</t>
  </si>
  <si>
    <t>11.10.Акт 2159 Плановый осмотр подвальных помещений. Осмотрено, нарушений работы подвальных коммуникаций не обнаружено</t>
  </si>
  <si>
    <t>19.10.Акт 2227 подвал. Не держит вентильна спускнике. Поставлена заглушка</t>
  </si>
  <si>
    <t>22.10.Акт 2267  кв.25. Перекрыть стояк.Стояк перекрыт</t>
  </si>
  <si>
    <t>31.10.Акт 2298 кв.33. Перекрыть стояк с хвс. Стояк закрыт в 14-20, стояк открыт в 14-40</t>
  </si>
  <si>
    <t>04.10.Акт 2116 кв.4. 1 подъезд нет света. Замена лампочек 6 шт</t>
  </si>
  <si>
    <t>27.10.Акт 2491 кв 43,44 Плавятся провода в щитке. Замена провода АПВ 1 м</t>
  </si>
  <si>
    <t>11.11.Акт 2506 С крыши падает, повисла антенна (тарелка). Убрана с торца тарелка спутниковая антенна</t>
  </si>
  <si>
    <t>08.11.Акт 2464 Плановый осмотр подвала. Осмотрено, засор канализации в подвале.Прочищено тросом</t>
  </si>
  <si>
    <t>15.11.Акт 2557 Плановый осмотр коммуникаций. Осмотрено, замечаний нет</t>
  </si>
  <si>
    <t xml:space="preserve">19.11.Акт 2589 кв.7. В ванной стоит вода, сверху сгнила труба. Обследовано, </t>
  </si>
  <si>
    <t>19.11.АКт2582 Плановый осмотр подвала, осмотрено, замечаний нет</t>
  </si>
  <si>
    <t>10.11.АКт2596 Плановый осмотр подвала, осмотрено, течи нет</t>
  </si>
  <si>
    <t>25.11.АКт2635 Плановый осмотр подвала, осмотрено, течи нет</t>
  </si>
  <si>
    <t>26.11.Акт 2641 2 подвал. Засор канализации во 2 подвале, прочищено тросом из подвала до колодца</t>
  </si>
  <si>
    <t>14.11.Акт 2551 кв.8. Замкнуло в щитке, выбило автомат, устранено, перетяжка пакетов в щитовой, замена нулевого провода</t>
  </si>
  <si>
    <t>20.11.Акт 2664 кв.51. Нет света в подъездах. Замена лампочек 5 шт</t>
  </si>
  <si>
    <t>21.11.Акт 2662 кв.30. Нет света в подъезде. Замена 4 ламп</t>
  </si>
  <si>
    <t>25.12.Акт 2895 кв.31. В квартире запах канализации, осмотрено, вытяжки затянуло куржаком, прочищено</t>
  </si>
  <si>
    <t>06.12.Акт 2785 кв.8. Перекрыть хкухонный стояк хвс, стояк перекрыл, стояк открыл</t>
  </si>
  <si>
    <t>06.12.Акт 2781 Плановый осмотр подвалов. Осмотрено, нарушений подвальных коммуникаций не обнаружено</t>
  </si>
  <si>
    <t>11.12.Акт 2826 Плановый осмотр подвалов, осмотрено, замечаний нет</t>
  </si>
  <si>
    <t>12.12.Акт 2842 Плановый осмотр подвалов, осмотрено, замечаний нет</t>
  </si>
  <si>
    <t>17.12.Акт 2891 Плановый осмотр подвалов, осмотрено, замечаний нет</t>
  </si>
  <si>
    <t>19.12.Акт 2912 кв.30. Засор канализации, устранено был забит унитаз до центрального стояка</t>
  </si>
  <si>
    <t>20.12.Акт 2927 Плановый осмотр подвалов, осмотрено, замечаний нет</t>
  </si>
  <si>
    <t>23.12.Акт 2951 Плановый осмотр подвалов. Осмотрено, течь крана на стояке отопления (устранено)</t>
  </si>
  <si>
    <t>27.12.Акт 2908 Плановый осмотр подвалов. Осмотрено, заменен кран на спускнике</t>
  </si>
  <si>
    <t>30.12.Акт 2932 Плановый осмотр подвалов, осмотрено, замечаний нет</t>
  </si>
  <si>
    <t>02.12.Акт 2719 Нет света в 1,2 подъездах. Замена лампочек 6 шт</t>
  </si>
  <si>
    <t>14.12.Акт 2873 кв.51 Нет света в подъезде. Замена лампочек</t>
  </si>
  <si>
    <t>15.12.Акт 2874 кв.52. Нет света в 3 подъезде. Замена лампочек 6 шт</t>
  </si>
  <si>
    <t>16.12.АК 2875 кв 4. Нет света в подъезде. Замена 1 лампочки</t>
  </si>
  <si>
    <t>18.12. Акт 2900 кв.35 Искрит счетчик в щитовой. Замена нулевой шины</t>
  </si>
  <si>
    <t>№ п/п</t>
  </si>
  <si>
    <t>Название улицы</t>
  </si>
  <si>
    <t>Получено средств за 2013 год</t>
  </si>
  <si>
    <t>выполнено работ за 2013 год</t>
  </si>
  <si>
    <t>остаток средств по дому на 01.01.2014</t>
  </si>
  <si>
    <t>Остаток средств по дому на 01.01.2013 года</t>
  </si>
  <si>
    <t xml:space="preserve">Вокзальная </t>
  </si>
  <si>
    <t xml:space="preserve">Кирова </t>
  </si>
  <si>
    <t>Лесная</t>
  </si>
  <si>
    <t>Пионерская</t>
  </si>
  <si>
    <t>Финансовый результат по домам за 2013 год</t>
  </si>
  <si>
    <t>положительный результат</t>
  </si>
  <si>
    <t>отрицательный результат</t>
  </si>
  <si>
    <t>задолженность населения на.01.01.2014</t>
  </si>
  <si>
    <t>отработано основными рабочими на доме, час (по заявкам)</t>
  </si>
  <si>
    <t>отработано основыми рабочими по техническому обслуживанию</t>
  </si>
  <si>
    <t>расходы по управлению жилым домом</t>
  </si>
  <si>
    <t>Отчет ООО " МУК" по управлению и текущему содержанию МКД  № 3 а по адресу ул.Пушкина за 2013 год</t>
  </si>
  <si>
    <t>Отчет ООО " МУК" по управлению и текущему содержанию МКД  № 6 а по адресу ул.Пушкина за 2013 год</t>
  </si>
  <si>
    <t>Отчет ООО " МУК" по управлению и текущему содержанию МКД  № 7 а по адресу ул.Пушкина за 2013 год</t>
  </si>
  <si>
    <t>Отчет ООО " МУК" по управлению и текущему содержанию МКД  № 11 а по адресу ул.Пушкина за 2013 год</t>
  </si>
  <si>
    <t>Отчет ООО " МУК" по управлению и текущему содержанию МКД  № 30 а по адресу ул.Пушкина за 2013 год</t>
  </si>
  <si>
    <t>Директор ООО МУК         Галузина Т.В.</t>
  </si>
  <si>
    <t>услуги по управлению жилым домом</t>
  </si>
  <si>
    <t>Главный экономист                                  Л.Артеменко</t>
  </si>
  <si>
    <t>обслуживание ОПУ</t>
  </si>
  <si>
    <t>Дефицит денежных средств по жилому дому на 01.01.2013 г</t>
  </si>
  <si>
    <t>Обслуживание ОПУ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</si>
</sst>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0.000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1"/>
      <color rgb="FFFF0000"/>
      <name val="Arial Cyr"/>
      <family val="2"/>
      <charset val="204"/>
    </font>
    <font>
      <sz val="11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sz val="11"/>
      <name val="Arial Cyr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Arial Cyr"/>
      <family val="2"/>
      <charset val="204"/>
    </font>
    <font>
      <sz val="11"/>
      <color rgb="FFFF0000"/>
      <name val="Arial Cyr"/>
      <charset val="204"/>
    </font>
    <font>
      <sz val="10"/>
      <color rgb="FFFF0000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11"/>
      <color rgb="FFC00000"/>
      <name val="Arial Cyr"/>
      <charset val="204"/>
    </font>
    <font>
      <b/>
      <sz val="11"/>
      <color rgb="FFC00000"/>
      <name val="Arial Cyr"/>
      <family val="2"/>
      <charset val="204"/>
    </font>
    <font>
      <sz val="11"/>
      <color rgb="FFC00000"/>
      <name val="Arial Cyr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11"/>
      <color rgb="FFC00000"/>
      <name val="Times New Roman Cyr"/>
      <family val="1"/>
      <charset val="204"/>
    </font>
    <font>
      <sz val="11"/>
      <color rgb="FFC00000"/>
      <name val="Times New Roman Cyr"/>
      <family val="1"/>
      <charset val="204"/>
    </font>
    <font>
      <sz val="10"/>
      <color rgb="FFC00000"/>
      <name val="Arial Cyr"/>
      <family val="2"/>
      <charset val="204"/>
    </font>
    <font>
      <b/>
      <sz val="11"/>
      <name val="Times New Roman Cyr"/>
      <family val="1"/>
      <charset val="204"/>
    </font>
    <font>
      <sz val="11"/>
      <color theme="1"/>
      <name val="Arial Cyr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"/>
      <family val="2"/>
      <charset val="204"/>
    </font>
    <font>
      <sz val="12"/>
      <name val="Cambria"/>
      <family val="1"/>
      <charset val="204"/>
      <scheme val="maj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name val="Times New Roman Cyr"/>
      <charset val="204"/>
    </font>
    <font>
      <sz val="11"/>
      <color rgb="FFC0000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4" fillId="0" borderId="0"/>
  </cellStyleXfs>
  <cellXfs count="860">
    <xf numFmtId="0" fontId="0" fillId="0" borderId="0" xfId="0"/>
    <xf numFmtId="4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vertical="center"/>
    </xf>
    <xf numFmtId="1" fontId="2" fillId="2" borderId="10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vertical="center"/>
    </xf>
    <xf numFmtId="1" fontId="2" fillId="2" borderId="20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vertical="center"/>
    </xf>
    <xf numFmtId="164" fontId="2" fillId="2" borderId="14" xfId="1" applyNumberFormat="1" applyFont="1" applyFill="1" applyBorder="1" applyAlignment="1">
      <alignment vertical="center"/>
    </xf>
    <xf numFmtId="164" fontId="2" fillId="2" borderId="19" xfId="1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horizontal="center" vertical="center"/>
    </xf>
    <xf numFmtId="164" fontId="2" fillId="2" borderId="22" xfId="1" applyNumberFormat="1" applyFont="1" applyFill="1" applyBorder="1" applyAlignment="1">
      <alignment vertical="center"/>
    </xf>
    <xf numFmtId="1" fontId="6" fillId="2" borderId="10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" fontId="6" fillId="2" borderId="15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horizontal="right" vertical="center"/>
    </xf>
    <xf numFmtId="1" fontId="12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right" vertical="center"/>
    </xf>
    <xf numFmtId="4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vertical="center"/>
    </xf>
    <xf numFmtId="4" fontId="6" fillId="2" borderId="15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18" fillId="2" borderId="15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vertical="center"/>
    </xf>
    <xf numFmtId="4" fontId="2" fillId="2" borderId="20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3" fontId="21" fillId="2" borderId="26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horizontal="center" vertical="center" wrapText="1"/>
    </xf>
    <xf numFmtId="4" fontId="17" fillId="2" borderId="20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/>
    </xf>
    <xf numFmtId="4" fontId="22" fillId="2" borderId="22" xfId="0" applyNumberFormat="1" applyFont="1" applyFill="1" applyBorder="1" applyAlignment="1">
      <alignment vertical="center"/>
    </xf>
    <xf numFmtId="3" fontId="21" fillId="2" borderId="28" xfId="0" applyNumberFormat="1" applyFont="1" applyFill="1" applyBorder="1" applyAlignment="1">
      <alignment horizontal="center" vertical="center" wrapText="1"/>
    </xf>
    <xf numFmtId="4" fontId="15" fillId="2" borderId="31" xfId="0" applyNumberFormat="1" applyFont="1" applyFill="1" applyBorder="1" applyAlignment="1">
      <alignment vertical="center"/>
    </xf>
    <xf numFmtId="1" fontId="5" fillId="2" borderId="26" xfId="0" applyNumberFormat="1" applyFont="1" applyFill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center"/>
    </xf>
    <xf numFmtId="4" fontId="13" fillId="2" borderId="35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1" fontId="5" fillId="2" borderId="38" xfId="0" applyNumberFormat="1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 wrapText="1"/>
    </xf>
    <xf numFmtId="0" fontId="28" fillId="2" borderId="25" xfId="0" applyFont="1" applyFill="1" applyBorder="1" applyAlignment="1">
      <alignment vertical="center"/>
    </xf>
    <xf numFmtId="0" fontId="28" fillId="2" borderId="43" xfId="0" applyFont="1" applyFill="1" applyBorder="1" applyAlignment="1">
      <alignment vertical="center"/>
    </xf>
    <xf numFmtId="0" fontId="29" fillId="2" borderId="25" xfId="0" applyFont="1" applyFill="1" applyBorder="1" applyAlignment="1">
      <alignment vertical="center"/>
    </xf>
    <xf numFmtId="0" fontId="29" fillId="2" borderId="43" xfId="0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0" fontId="29" fillId="2" borderId="36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12" xfId="0" applyFont="1" applyFill="1" applyBorder="1" applyAlignment="1">
      <alignment vertical="center"/>
    </xf>
    <xf numFmtId="0" fontId="29" fillId="2" borderId="42" xfId="0" applyFont="1" applyFill="1" applyBorder="1" applyAlignment="1">
      <alignment vertical="center"/>
    </xf>
    <xf numFmtId="4" fontId="25" fillId="2" borderId="0" xfId="0" applyNumberFormat="1" applyFont="1" applyFill="1" applyBorder="1" applyAlignment="1">
      <alignment vertical="center" wrapText="1"/>
    </xf>
    <xf numFmtId="4" fontId="26" fillId="2" borderId="0" xfId="0" applyNumberFormat="1" applyFont="1" applyFill="1" applyBorder="1" applyAlignment="1">
      <alignment vertical="center" wrapText="1"/>
    </xf>
    <xf numFmtId="0" fontId="33" fillId="0" borderId="18" xfId="0" applyFont="1" applyBorder="1"/>
    <xf numFmtId="0" fontId="33" fillId="0" borderId="0" xfId="0" applyFont="1"/>
    <xf numFmtId="0" fontId="34" fillId="0" borderId="0" xfId="0" applyFont="1" applyBorder="1"/>
    <xf numFmtId="0" fontId="34" fillId="0" borderId="0" xfId="0" applyFont="1"/>
    <xf numFmtId="0" fontId="34" fillId="0" borderId="18" xfId="0" applyFont="1" applyBorder="1"/>
    <xf numFmtId="0" fontId="34" fillId="0" borderId="18" xfId="0" applyFont="1" applyBorder="1" applyAlignment="1">
      <alignment vertical="center" wrapText="1"/>
    </xf>
    <xf numFmtId="4" fontId="37" fillId="0" borderId="0" xfId="0" applyNumberFormat="1" applyFont="1" applyFill="1" applyAlignment="1">
      <alignment vertical="center"/>
    </xf>
    <xf numFmtId="0" fontId="34" fillId="0" borderId="21" xfId="0" applyFont="1" applyBorder="1"/>
    <xf numFmtId="0" fontId="34" fillId="0" borderId="18" xfId="0" applyFont="1" applyBorder="1" applyAlignment="1">
      <alignment wrapText="1"/>
    </xf>
    <xf numFmtId="0" fontId="34" fillId="0" borderId="13" xfId="0" applyFont="1" applyBorder="1"/>
    <xf numFmtId="0" fontId="33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8" fillId="2" borderId="25" xfId="0" applyFont="1" applyFill="1" applyBorder="1" applyAlignment="1">
      <alignment vertical="center"/>
    </xf>
    <xf numFmtId="0" fontId="38" fillId="2" borderId="43" xfId="0" applyFont="1" applyFill="1" applyBorder="1" applyAlignment="1">
      <alignment vertical="center"/>
    </xf>
    <xf numFmtId="0" fontId="33" fillId="0" borderId="0" xfId="0" applyFont="1" applyBorder="1"/>
    <xf numFmtId="4" fontId="32" fillId="2" borderId="18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38" fillId="2" borderId="18" xfId="0" applyFont="1" applyFill="1" applyBorder="1" applyAlignment="1">
      <alignment vertical="center" wrapText="1"/>
    </xf>
    <xf numFmtId="0" fontId="0" fillId="0" borderId="0" xfId="0" applyFont="1"/>
    <xf numFmtId="4" fontId="36" fillId="2" borderId="18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26" fillId="2" borderId="5" xfId="0" applyNumberFormat="1" applyFont="1" applyFill="1" applyBorder="1" applyAlignment="1">
      <alignment vertical="center" wrapText="1"/>
    </xf>
    <xf numFmtId="0" fontId="33" fillId="0" borderId="18" xfId="0" applyFont="1" applyBorder="1" applyAlignment="1">
      <alignment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8" fillId="2" borderId="25" xfId="0" applyFont="1" applyFill="1" applyBorder="1" applyAlignment="1">
      <alignment vertical="center" wrapText="1"/>
    </xf>
    <xf numFmtId="0" fontId="40" fillId="0" borderId="18" xfId="0" applyFont="1" applyBorder="1"/>
    <xf numFmtId="165" fontId="33" fillId="0" borderId="18" xfId="0" applyNumberFormat="1" applyFont="1" applyBorder="1"/>
    <xf numFmtId="0" fontId="33" fillId="0" borderId="17" xfId="0" applyFont="1" applyBorder="1"/>
    <xf numFmtId="4" fontId="20" fillId="2" borderId="0" xfId="0" applyNumberFormat="1" applyFont="1" applyFill="1" applyBorder="1" applyAlignment="1">
      <alignment vertical="center" wrapText="1"/>
    </xf>
    <xf numFmtId="4" fontId="25" fillId="2" borderId="8" xfId="0" applyNumberFormat="1" applyFont="1" applyFill="1" applyBorder="1" applyAlignment="1">
      <alignment horizontal="left" vertical="center" wrapText="1"/>
    </xf>
    <xf numFmtId="4" fontId="25" fillId="2" borderId="23" xfId="0" applyNumberFormat="1" applyFont="1" applyFill="1" applyBorder="1" applyAlignment="1">
      <alignment horizontal="left" vertical="center" wrapText="1"/>
    </xf>
    <xf numFmtId="4" fontId="26" fillId="2" borderId="24" xfId="0" applyNumberFormat="1" applyFont="1" applyFill="1" applyBorder="1" applyAlignment="1">
      <alignment vertical="center" wrapText="1"/>
    </xf>
    <xf numFmtId="4" fontId="26" fillId="2" borderId="43" xfId="0" applyNumberFormat="1" applyFont="1" applyFill="1" applyBorder="1" applyAlignment="1">
      <alignment vertical="center" wrapText="1"/>
    </xf>
    <xf numFmtId="4" fontId="41" fillId="2" borderId="18" xfId="0" applyNumberFormat="1" applyFont="1" applyFill="1" applyBorder="1" applyAlignment="1">
      <alignment vertical="center" wrapText="1"/>
    </xf>
    <xf numFmtId="4" fontId="42" fillId="2" borderId="0" xfId="0" applyNumberFormat="1" applyFont="1" applyFill="1" applyBorder="1" applyAlignment="1">
      <alignment vertical="center" wrapText="1"/>
    </xf>
    <xf numFmtId="0" fontId="40" fillId="0" borderId="0" xfId="0" applyFont="1"/>
    <xf numFmtId="0" fontId="44" fillId="2" borderId="25" xfId="0" applyFont="1" applyFill="1" applyBorder="1" applyAlignment="1">
      <alignment vertical="center"/>
    </xf>
    <xf numFmtId="0" fontId="44" fillId="2" borderId="43" xfId="0" applyFont="1" applyFill="1" applyBorder="1" applyAlignment="1">
      <alignment vertical="center"/>
    </xf>
    <xf numFmtId="0" fontId="45" fillId="2" borderId="25" xfId="0" applyFont="1" applyFill="1" applyBorder="1" applyAlignment="1">
      <alignment vertical="center" wrapText="1"/>
    </xf>
    <xf numFmtId="0" fontId="45" fillId="2" borderId="43" xfId="0" applyFont="1" applyFill="1" applyBorder="1" applyAlignment="1">
      <alignment vertical="center"/>
    </xf>
    <xf numFmtId="0" fontId="40" fillId="0" borderId="18" xfId="0" applyFont="1" applyBorder="1" applyAlignment="1">
      <alignment wrapText="1"/>
    </xf>
    <xf numFmtId="0" fontId="45" fillId="2" borderId="25" xfId="0" applyFont="1" applyFill="1" applyBorder="1" applyAlignment="1">
      <alignment vertical="center"/>
    </xf>
    <xf numFmtId="0" fontId="45" fillId="2" borderId="17" xfId="0" applyFont="1" applyFill="1" applyBorder="1" applyAlignment="1">
      <alignment vertical="center"/>
    </xf>
    <xf numFmtId="0" fontId="45" fillId="2" borderId="36" xfId="0" applyFont="1" applyFill="1" applyBorder="1" applyAlignment="1">
      <alignment vertical="center"/>
    </xf>
    <xf numFmtId="0" fontId="45" fillId="2" borderId="6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45" fillId="2" borderId="12" xfId="0" applyFont="1" applyFill="1" applyBorder="1" applyAlignment="1">
      <alignment vertical="center"/>
    </xf>
    <xf numFmtId="0" fontId="45" fillId="2" borderId="42" xfId="0" applyFont="1" applyFill="1" applyBorder="1" applyAlignment="1">
      <alignment vertical="center"/>
    </xf>
    <xf numFmtId="4" fontId="48" fillId="0" borderId="0" xfId="0" applyNumberFormat="1" applyFont="1" applyFill="1" applyAlignment="1">
      <alignment vertical="center"/>
    </xf>
    <xf numFmtId="4" fontId="20" fillId="2" borderId="21" xfId="0" applyNumberFormat="1" applyFont="1" applyFill="1" applyBorder="1" applyAlignment="1">
      <alignment vertical="center" wrapText="1"/>
    </xf>
    <xf numFmtId="0" fontId="33" fillId="0" borderId="21" xfId="0" applyFont="1" applyBorder="1"/>
    <xf numFmtId="4" fontId="36" fillId="2" borderId="21" xfId="0" applyNumberFormat="1" applyFont="1" applyFill="1" applyBorder="1" applyAlignment="1">
      <alignment vertical="center" wrapText="1"/>
    </xf>
    <xf numFmtId="4" fontId="20" fillId="2" borderId="13" xfId="0" applyNumberFormat="1" applyFont="1" applyFill="1" applyBorder="1" applyAlignment="1">
      <alignment vertical="center" wrapText="1"/>
    </xf>
    <xf numFmtId="4" fontId="35" fillId="0" borderId="0" xfId="0" applyNumberFormat="1" applyFont="1" applyBorder="1" applyAlignment="1">
      <alignment horizontal="center" vertical="center"/>
    </xf>
    <xf numFmtId="0" fontId="0" fillId="0" borderId="18" xfId="0" applyBorder="1"/>
    <xf numFmtId="0" fontId="38" fillId="2" borderId="18" xfId="0" applyFont="1" applyFill="1" applyBorder="1" applyAlignment="1">
      <alignment vertical="center"/>
    </xf>
    <xf numFmtId="0" fontId="33" fillId="0" borderId="13" xfId="0" applyFont="1" applyBorder="1"/>
    <xf numFmtId="0" fontId="33" fillId="0" borderId="18" xfId="0" applyFont="1" applyBorder="1" applyAlignment="1">
      <alignment horizontal="left" vertical="center" wrapText="1"/>
    </xf>
    <xf numFmtId="4" fontId="20" fillId="2" borderId="29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left" vertical="center" wrapText="1"/>
    </xf>
    <xf numFmtId="4" fontId="49" fillId="2" borderId="18" xfId="0" applyNumberFormat="1" applyFont="1" applyFill="1" applyBorder="1" applyAlignment="1">
      <alignment vertical="center" wrapText="1"/>
    </xf>
    <xf numFmtId="4" fontId="32" fillId="2" borderId="21" xfId="0" applyNumberFormat="1" applyFont="1" applyFill="1" applyBorder="1" applyAlignment="1">
      <alignment horizontal="left" vertical="center" wrapText="1"/>
    </xf>
    <xf numFmtId="4" fontId="32" fillId="2" borderId="45" xfId="0" applyNumberFormat="1" applyFont="1" applyFill="1" applyBorder="1" applyAlignment="1">
      <alignment horizontal="left" vertical="center" wrapText="1"/>
    </xf>
    <xf numFmtId="0" fontId="0" fillId="0" borderId="18" xfId="0" applyFont="1" applyBorder="1"/>
    <xf numFmtId="0" fontId="38" fillId="2" borderId="17" xfId="0" applyFont="1" applyFill="1" applyBorder="1" applyAlignment="1">
      <alignment vertical="center"/>
    </xf>
    <xf numFmtId="4" fontId="32" fillId="2" borderId="25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20" fillId="2" borderId="5" xfId="0" applyNumberFormat="1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4" fontId="32" fillId="2" borderId="13" xfId="0" applyNumberFormat="1" applyFont="1" applyFill="1" applyBorder="1" applyAlignment="1">
      <alignment vertical="center" wrapText="1"/>
    </xf>
    <xf numFmtId="4" fontId="32" fillId="2" borderId="21" xfId="0" applyNumberFormat="1" applyFont="1" applyFill="1" applyBorder="1" applyAlignment="1">
      <alignment vertical="center" wrapText="1"/>
    </xf>
    <xf numFmtId="0" fontId="0" fillId="0" borderId="13" xfId="0" applyBorder="1"/>
    <xf numFmtId="0" fontId="33" fillId="0" borderId="45" xfId="0" applyFont="1" applyFill="1" applyBorder="1"/>
    <xf numFmtId="0" fontId="33" fillId="0" borderId="18" xfId="0" applyFont="1" applyFill="1" applyBorder="1" applyAlignment="1">
      <alignment wrapText="1"/>
    </xf>
    <xf numFmtId="4" fontId="5" fillId="0" borderId="0" xfId="0" applyNumberFormat="1" applyFont="1" applyBorder="1" applyAlignment="1">
      <alignment horizontal="center" vertical="center"/>
    </xf>
    <xf numFmtId="4" fontId="32" fillId="2" borderId="6" xfId="0" applyNumberFormat="1" applyFont="1" applyFill="1" applyBorder="1" applyAlignment="1">
      <alignment horizontal="left" vertical="center" wrapText="1"/>
    </xf>
    <xf numFmtId="0" fontId="38" fillId="2" borderId="17" xfId="0" applyFont="1" applyFill="1" applyBorder="1" applyAlignment="1">
      <alignment vertical="center" wrapText="1"/>
    </xf>
    <xf numFmtId="4" fontId="20" fillId="2" borderId="45" xfId="0" applyNumberFormat="1" applyFont="1" applyFill="1" applyBorder="1" applyAlignment="1">
      <alignment horizontal="left" vertical="center" wrapText="1"/>
    </xf>
    <xf numFmtId="4" fontId="20" fillId="2" borderId="45" xfId="0" applyNumberFormat="1" applyFont="1" applyFill="1" applyBorder="1" applyAlignment="1">
      <alignment vertical="center" wrapText="1"/>
    </xf>
    <xf numFmtId="0" fontId="38" fillId="2" borderId="6" xfId="0" applyFont="1" applyFill="1" applyBorder="1" applyAlignment="1">
      <alignment vertical="center" wrapText="1"/>
    </xf>
    <xf numFmtId="4" fontId="32" fillId="2" borderId="13" xfId="0" applyNumberFormat="1" applyFont="1" applyFill="1" applyBorder="1" applyAlignment="1">
      <alignment horizontal="left" vertical="center" wrapText="1"/>
    </xf>
    <xf numFmtId="4" fontId="32" fillId="2" borderId="45" xfId="0" applyNumberFormat="1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center" vertical="center"/>
    </xf>
    <xf numFmtId="4" fontId="50" fillId="2" borderId="18" xfId="0" applyNumberFormat="1" applyFont="1" applyFill="1" applyBorder="1" applyAlignment="1">
      <alignment vertical="center" wrapText="1"/>
    </xf>
    <xf numFmtId="4" fontId="50" fillId="2" borderId="24" xfId="0" applyNumberFormat="1" applyFont="1" applyFill="1" applyBorder="1" applyAlignment="1">
      <alignment vertical="center" wrapText="1"/>
    </xf>
    <xf numFmtId="4" fontId="51" fillId="2" borderId="18" xfId="0" applyNumberFormat="1" applyFont="1" applyFill="1" applyBorder="1" applyAlignment="1">
      <alignment vertical="center" wrapText="1"/>
    </xf>
    <xf numFmtId="0" fontId="38" fillId="2" borderId="6" xfId="0" applyFont="1" applyFill="1" applyBorder="1" applyAlignment="1">
      <alignment vertical="center"/>
    </xf>
    <xf numFmtId="0" fontId="0" fillId="0" borderId="13" xfId="0" applyFont="1" applyBorder="1"/>
    <xf numFmtId="4" fontId="20" fillId="2" borderId="18" xfId="0" applyNumberFormat="1" applyFont="1" applyFill="1" applyBorder="1" applyAlignment="1">
      <alignment vertical="center" wrapText="1"/>
    </xf>
    <xf numFmtId="4" fontId="4" fillId="2" borderId="16" xfId="0" applyNumberFormat="1" applyFont="1" applyFill="1" applyBorder="1" applyAlignment="1">
      <alignment vertical="center" wrapText="1"/>
    </xf>
    <xf numFmtId="4" fontId="20" fillId="2" borderId="8" xfId="0" applyNumberFormat="1" applyFont="1" applyFill="1" applyBorder="1" applyAlignment="1">
      <alignment vertical="center" wrapText="1"/>
    </xf>
    <xf numFmtId="4" fontId="20" fillId="2" borderId="2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0" fontId="38" fillId="2" borderId="16" xfId="0" applyFont="1" applyFill="1" applyBorder="1" applyAlignment="1">
      <alignment vertical="center"/>
    </xf>
    <xf numFmtId="4" fontId="32" fillId="2" borderId="24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/>
    </xf>
    <xf numFmtId="0" fontId="39" fillId="2" borderId="25" xfId="0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 wrapText="1"/>
    </xf>
    <xf numFmtId="4" fontId="49" fillId="2" borderId="0" xfId="0" applyNumberFormat="1" applyFont="1" applyFill="1" applyBorder="1" applyAlignment="1">
      <alignment vertical="center" wrapText="1"/>
    </xf>
    <xf numFmtId="0" fontId="53" fillId="0" borderId="18" xfId="0" applyFont="1" applyBorder="1"/>
    <xf numFmtId="4" fontId="20" fillId="2" borderId="11" xfId="0" applyNumberFormat="1" applyFont="1" applyFill="1" applyBorder="1" applyAlignment="1">
      <alignment horizontal="left" vertical="center" wrapText="1"/>
    </xf>
    <xf numFmtId="0" fontId="0" fillId="0" borderId="16" xfId="0" applyBorder="1"/>
    <xf numFmtId="0" fontId="54" fillId="0" borderId="0" xfId="2"/>
    <xf numFmtId="0" fontId="55" fillId="0" borderId="18" xfId="2" applyFont="1" applyBorder="1"/>
    <xf numFmtId="0" fontId="54" fillId="0" borderId="18" xfId="2" applyBorder="1"/>
    <xf numFmtId="0" fontId="55" fillId="0" borderId="18" xfId="2" applyFont="1" applyBorder="1" applyAlignment="1">
      <alignment wrapText="1"/>
    </xf>
    <xf numFmtId="2" fontId="55" fillId="0" borderId="18" xfId="2" applyNumberFormat="1" applyFont="1" applyBorder="1"/>
    <xf numFmtId="2" fontId="54" fillId="0" borderId="18" xfId="2" applyNumberFormat="1" applyBorder="1"/>
    <xf numFmtId="0" fontId="54" fillId="0" borderId="0" xfId="2" applyAlignment="1">
      <alignment horizontal="center"/>
    </xf>
    <xf numFmtId="0" fontId="38" fillId="2" borderId="43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horizontal="left" vertical="center" wrapText="1"/>
    </xf>
    <xf numFmtId="2" fontId="54" fillId="0" borderId="0" xfId="2" applyNumberFormat="1"/>
    <xf numFmtId="0" fontId="56" fillId="0" borderId="18" xfId="2" applyFont="1" applyBorder="1"/>
    <xf numFmtId="2" fontId="56" fillId="0" borderId="18" xfId="2" applyNumberFormat="1" applyFont="1" applyBorder="1"/>
    <xf numFmtId="2" fontId="57" fillId="0" borderId="18" xfId="2" applyNumberFormat="1" applyFont="1" applyBorder="1"/>
    <xf numFmtId="0" fontId="58" fillId="0" borderId="18" xfId="2" applyFont="1" applyBorder="1"/>
    <xf numFmtId="0" fontId="59" fillId="0" borderId="0" xfId="2" applyFont="1"/>
    <xf numFmtId="2" fontId="58" fillId="0" borderId="18" xfId="2" applyNumberFormat="1" applyFont="1" applyBorder="1"/>
    <xf numFmtId="4" fontId="4" fillId="0" borderId="16" xfId="0" applyNumberFormat="1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20" fillId="2" borderId="37" xfId="0" applyNumberFormat="1" applyFont="1" applyFill="1" applyBorder="1" applyAlignment="1">
      <alignment horizontal="left" vertical="center" wrapText="1"/>
    </xf>
    <xf numFmtId="4" fontId="4" fillId="2" borderId="45" xfId="0" applyNumberFormat="1" applyFont="1" applyFill="1" applyBorder="1" applyAlignment="1">
      <alignment vertical="center" wrapText="1"/>
    </xf>
    <xf numFmtId="4" fontId="20" fillId="2" borderId="25" xfId="0" applyNumberFormat="1" applyFont="1" applyFill="1" applyBorder="1" applyAlignment="1">
      <alignment vertical="center" wrapText="1"/>
    </xf>
    <xf numFmtId="4" fontId="32" fillId="2" borderId="0" xfId="0" applyNumberFormat="1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59" fillId="0" borderId="18" xfId="2" applyFont="1" applyBorder="1"/>
    <xf numFmtId="0" fontId="53" fillId="0" borderId="16" xfId="0" applyFont="1" applyBorder="1"/>
    <xf numFmtId="0" fontId="54" fillId="0" borderId="0" xfId="2" applyBorder="1"/>
    <xf numFmtId="0" fontId="55" fillId="0" borderId="16" xfId="2" applyFont="1" applyBorder="1" applyAlignment="1">
      <alignment wrapText="1"/>
    </xf>
    <xf numFmtId="0" fontId="55" fillId="0" borderId="16" xfId="2" applyFont="1" applyBorder="1"/>
    <xf numFmtId="0" fontId="54" fillId="0" borderId="16" xfId="2" applyBorder="1"/>
    <xf numFmtId="0" fontId="54" fillId="0" borderId="0" xfId="2" applyAlignment="1">
      <alignment wrapText="1"/>
    </xf>
    <xf numFmtId="0" fontId="54" fillId="0" borderId="18" xfId="2" applyBorder="1" applyAlignment="1">
      <alignment horizontal="center" vertical="center"/>
    </xf>
    <xf numFmtId="0" fontId="54" fillId="0" borderId="18" xfId="2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9" fillId="2" borderId="33" xfId="0" applyNumberFormat="1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/>
    </xf>
    <xf numFmtId="0" fontId="38" fillId="2" borderId="16" xfId="0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22" fillId="2" borderId="16" xfId="0" applyFont="1" applyFill="1" applyBorder="1" applyAlignment="1">
      <alignment vertical="center" wrapText="1"/>
    </xf>
    <xf numFmtId="4" fontId="22" fillId="2" borderId="8" xfId="0" applyNumberFormat="1" applyFont="1" applyFill="1" applyBorder="1" applyAlignment="1">
      <alignment horizontal="left" vertical="center" wrapText="1"/>
    </xf>
    <xf numFmtId="0" fontId="56" fillId="0" borderId="0" xfId="2" applyFont="1"/>
    <xf numFmtId="165" fontId="56" fillId="0" borderId="18" xfId="2" applyNumberFormat="1" applyFont="1" applyBorder="1"/>
    <xf numFmtId="4" fontId="4" fillId="0" borderId="16" xfId="0" applyNumberFormat="1" applyFont="1" applyBorder="1" applyAlignment="1">
      <alignment horizontal="center" vertical="center"/>
    </xf>
    <xf numFmtId="0" fontId="54" fillId="0" borderId="0" xfId="2" applyAlignment="1">
      <alignment horizontal="center"/>
    </xf>
    <xf numFmtId="0" fontId="58" fillId="0" borderId="18" xfId="2" applyFont="1" applyBorder="1" applyAlignment="1">
      <alignment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9" fillId="2" borderId="33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5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29" xfId="0" applyNumberFormat="1" applyFont="1" applyFill="1" applyBorder="1" applyAlignment="1">
      <alignment vertical="center" wrapText="1"/>
    </xf>
    <xf numFmtId="4" fontId="32" fillId="2" borderId="43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165" fontId="33" fillId="0" borderId="0" xfId="0" applyNumberFormat="1" applyFont="1" applyBorder="1"/>
    <xf numFmtId="4" fontId="4" fillId="0" borderId="16" xfId="0" applyNumberFormat="1" applyFont="1" applyBorder="1" applyAlignment="1">
      <alignment horizontal="center" vertical="center"/>
    </xf>
    <xf numFmtId="0" fontId="56" fillId="0" borderId="18" xfId="2" applyFont="1" applyBorder="1" applyAlignment="1">
      <alignment wrapText="1"/>
    </xf>
    <xf numFmtId="4" fontId="32" fillId="2" borderId="33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left" vertical="center" wrapText="1"/>
    </xf>
    <xf numFmtId="0" fontId="54" fillId="0" borderId="0" xfId="2" applyAlignment="1">
      <alignment horizontal="center"/>
    </xf>
    <xf numFmtId="4" fontId="4" fillId="2" borderId="29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0" fontId="60" fillId="0" borderId="18" xfId="0" applyFont="1" applyBorder="1" applyAlignment="1">
      <alignment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9" fillId="2" borderId="5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0" fontId="54" fillId="0" borderId="0" xfId="2" applyAlignment="1">
      <alignment horizontal="center"/>
    </xf>
    <xf numFmtId="4" fontId="49" fillId="3" borderId="0" xfId="2" applyNumberFormat="1" applyFont="1" applyFill="1" applyBorder="1" applyAlignment="1">
      <alignment horizontal="center" vertical="center" wrapText="1"/>
    </xf>
    <xf numFmtId="4" fontId="4" fillId="2" borderId="45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horizontal="left" vertical="center" wrapText="1"/>
    </xf>
    <xf numFmtId="2" fontId="0" fillId="0" borderId="18" xfId="0" applyNumberFormat="1" applyBorder="1"/>
    <xf numFmtId="1" fontId="0" fillId="0" borderId="18" xfId="0" applyNumberFormat="1" applyBorder="1"/>
    <xf numFmtId="166" fontId="0" fillId="0" borderId="18" xfId="0" applyNumberFormat="1" applyBorder="1"/>
    <xf numFmtId="0" fontId="55" fillId="0" borderId="13" xfId="2" applyFont="1" applyBorder="1"/>
    <xf numFmtId="0" fontId="58" fillId="0" borderId="13" xfId="2" applyFont="1" applyBorder="1"/>
    <xf numFmtId="4" fontId="49" fillId="3" borderId="18" xfId="2" applyNumberFormat="1" applyFont="1" applyFill="1" applyBorder="1" applyAlignment="1">
      <alignment horizontal="center" vertical="center" wrapText="1"/>
    </xf>
    <xf numFmtId="0" fontId="54" fillId="0" borderId="18" xfId="2" applyBorder="1" applyAlignment="1">
      <alignment wrapText="1"/>
    </xf>
    <xf numFmtId="4" fontId="61" fillId="3" borderId="18" xfId="2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0" fontId="54" fillId="0" borderId="17" xfId="2" applyBorder="1"/>
    <xf numFmtId="4" fontId="20" fillId="2" borderId="18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4" fontId="4" fillId="2" borderId="44" xfId="0" applyNumberFormat="1" applyFont="1" applyFill="1" applyBorder="1" applyAlignment="1">
      <alignment vertical="center" wrapText="1"/>
    </xf>
    <xf numFmtId="0" fontId="54" fillId="0" borderId="0" xfId="2" applyAlignment="1">
      <alignment horizontal="center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9" fillId="2" borderId="8" xfId="0" applyNumberFormat="1" applyFont="1" applyFill="1" applyBorder="1" applyAlignment="1">
      <alignment vertical="center" wrapText="1"/>
    </xf>
    <xf numFmtId="0" fontId="54" fillId="0" borderId="0" xfId="2" applyFill="1" applyBorder="1"/>
    <xf numFmtId="4" fontId="49" fillId="3" borderId="16" xfId="2" applyNumberFormat="1" applyFont="1" applyFill="1" applyBorder="1" applyAlignment="1">
      <alignment horizontal="center" vertical="center" wrapText="1"/>
    </xf>
    <xf numFmtId="0" fontId="58" fillId="0" borderId="11" xfId="2" applyFont="1" applyBorder="1"/>
    <xf numFmtId="0" fontId="58" fillId="0" borderId="16" xfId="2" applyFont="1" applyBorder="1"/>
    <xf numFmtId="0" fontId="56" fillId="0" borderId="16" xfId="2" applyFont="1" applyBorder="1"/>
    <xf numFmtId="2" fontId="58" fillId="0" borderId="16" xfId="2" applyNumberFormat="1" applyFont="1" applyBorder="1"/>
    <xf numFmtId="2" fontId="56" fillId="0" borderId="16" xfId="2" applyNumberFormat="1" applyFont="1" applyBorder="1"/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0" fontId="54" fillId="0" borderId="0" xfId="2" applyAlignment="1">
      <alignment horizontal="center"/>
    </xf>
    <xf numFmtId="4" fontId="32" fillId="2" borderId="18" xfId="0" applyNumberFormat="1" applyFont="1" applyFill="1" applyBorder="1" applyAlignment="1">
      <alignment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left" vertical="center" wrapText="1"/>
    </xf>
    <xf numFmtId="4" fontId="4" fillId="2" borderId="16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22" fillId="2" borderId="18" xfId="0" applyNumberFormat="1" applyFont="1" applyFill="1" applyBorder="1" applyAlignment="1">
      <alignment horizontal="left" vertical="center" wrapText="1"/>
    </xf>
    <xf numFmtId="0" fontId="34" fillId="0" borderId="17" xfId="0" applyFont="1" applyBorder="1"/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0" fontId="54" fillId="0" borderId="0" xfId="2" applyAlignment="1">
      <alignment horizontal="center"/>
    </xf>
    <xf numFmtId="4" fontId="32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9" fillId="2" borderId="8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5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9" fillId="2" borderId="8" xfId="0" applyNumberFormat="1" applyFont="1" applyFill="1" applyBorder="1" applyAlignment="1">
      <alignment vertical="center" wrapText="1"/>
    </xf>
    <xf numFmtId="4" fontId="20" fillId="0" borderId="16" xfId="0" applyNumberFormat="1" applyFont="1" applyBorder="1" applyAlignment="1">
      <alignment horizontal="center" vertical="center"/>
    </xf>
    <xf numFmtId="4" fontId="32" fillId="2" borderId="2" xfId="0" applyNumberFormat="1" applyFont="1" applyFill="1" applyBorder="1" applyAlignment="1">
      <alignment horizontal="left" vertical="center" wrapText="1"/>
    </xf>
    <xf numFmtId="4" fontId="49" fillId="3" borderId="36" xfId="2" applyNumberFormat="1" applyFont="1" applyFill="1" applyBorder="1" applyAlignment="1">
      <alignment horizontal="center" vertical="center" wrapText="1"/>
    </xf>
    <xf numFmtId="0" fontId="62" fillId="0" borderId="18" xfId="2" applyFont="1" applyBorder="1"/>
    <xf numFmtId="0" fontId="62" fillId="0" borderId="0" xfId="2" applyFont="1"/>
    <xf numFmtId="4" fontId="20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9" fillId="2" borderId="33" xfId="0" applyNumberFormat="1" applyFont="1" applyFill="1" applyBorder="1" applyAlignment="1">
      <alignment vertical="center" wrapText="1"/>
    </xf>
    <xf numFmtId="0" fontId="59" fillId="0" borderId="0" xfId="2" applyFont="1" applyFill="1" applyBorder="1"/>
    <xf numFmtId="0" fontId="59" fillId="0" borderId="18" xfId="2" applyFont="1" applyBorder="1" applyAlignment="1">
      <alignment horizontal="left"/>
    </xf>
    <xf numFmtId="17" fontId="33" fillId="0" borderId="18" xfId="0" applyNumberFormat="1" applyFont="1" applyBorder="1"/>
    <xf numFmtId="4" fontId="49" fillId="3" borderId="0" xfId="2" applyNumberFormat="1" applyFont="1" applyFill="1" applyBorder="1" applyAlignment="1">
      <alignment horizontal="center" vertical="center" wrapText="1"/>
    </xf>
    <xf numFmtId="0" fontId="54" fillId="0" borderId="0" xfId="2" applyAlignment="1">
      <alignment horizontal="center"/>
    </xf>
    <xf numFmtId="4" fontId="61" fillId="2" borderId="33" xfId="0" applyNumberFormat="1" applyFont="1" applyFill="1" applyBorder="1" applyAlignment="1">
      <alignment vertical="center" wrapText="1"/>
    </xf>
    <xf numFmtId="4" fontId="38" fillId="2" borderId="8" xfId="0" applyNumberFormat="1" applyFont="1" applyFill="1" applyBorder="1" applyAlignment="1">
      <alignment vertical="center" wrapText="1"/>
    </xf>
    <xf numFmtId="0" fontId="38" fillId="0" borderId="18" xfId="0" applyFont="1" applyBorder="1"/>
    <xf numFmtId="0" fontId="29" fillId="0" borderId="18" xfId="0" applyFont="1" applyBorder="1"/>
    <xf numFmtId="4" fontId="39" fillId="2" borderId="13" xfId="0" applyNumberFormat="1" applyFont="1" applyFill="1" applyBorder="1" applyAlignment="1">
      <alignment horizontal="left" vertical="center" wrapText="1"/>
    </xf>
    <xf numFmtId="4" fontId="38" fillId="2" borderId="18" xfId="0" applyNumberFormat="1" applyFont="1" applyFill="1" applyBorder="1" applyAlignment="1">
      <alignment vertical="center" wrapText="1"/>
    </xf>
    <xf numFmtId="165" fontId="38" fillId="0" borderId="18" xfId="0" applyNumberFormat="1" applyFont="1" applyBorder="1"/>
    <xf numFmtId="0" fontId="63" fillId="0" borderId="18" xfId="0" applyFont="1" applyBorder="1"/>
    <xf numFmtId="0" fontId="63" fillId="0" borderId="18" xfId="0" applyFont="1" applyBorder="1" applyAlignment="1">
      <alignment wrapText="1"/>
    </xf>
    <xf numFmtId="4" fontId="38" fillId="2" borderId="45" xfId="0" applyNumberFormat="1" applyFont="1" applyFill="1" applyBorder="1" applyAlignment="1">
      <alignment vertical="center" wrapText="1"/>
    </xf>
    <xf numFmtId="4" fontId="38" fillId="2" borderId="24" xfId="0" applyNumberFormat="1" applyFont="1" applyFill="1" applyBorder="1" applyAlignment="1">
      <alignment vertical="center" wrapText="1"/>
    </xf>
    <xf numFmtId="4" fontId="38" fillId="2" borderId="18" xfId="0" applyNumberFormat="1" applyFont="1" applyFill="1" applyBorder="1" applyAlignment="1">
      <alignment horizontal="left" vertical="center" wrapText="1"/>
    </xf>
    <xf numFmtId="4" fontId="39" fillId="2" borderId="18" xfId="0" applyNumberFormat="1" applyFont="1" applyFill="1" applyBorder="1" applyAlignment="1">
      <alignment vertical="center" wrapText="1"/>
    </xf>
    <xf numFmtId="4" fontId="39" fillId="2" borderId="8" xfId="0" applyNumberFormat="1" applyFont="1" applyFill="1" applyBorder="1" applyAlignment="1">
      <alignment vertical="center" wrapText="1"/>
    </xf>
    <xf numFmtId="2" fontId="56" fillId="0" borderId="36" xfId="2" applyNumberFormat="1" applyFont="1" applyBorder="1"/>
    <xf numFmtId="0" fontId="56" fillId="0" borderId="18" xfId="2" applyFont="1" applyBorder="1" applyAlignment="1">
      <alignment horizontal="left"/>
    </xf>
    <xf numFmtId="0" fontId="56" fillId="0" borderId="36" xfId="2" applyFont="1" applyBorder="1"/>
    <xf numFmtId="0" fontId="58" fillId="0" borderId="18" xfId="2" applyFont="1" applyBorder="1" applyAlignment="1">
      <alignment horizontal="left"/>
    </xf>
    <xf numFmtId="0" fontId="58" fillId="0" borderId="36" xfId="2" applyFont="1" applyBorder="1"/>
    <xf numFmtId="4" fontId="49" fillId="3" borderId="18" xfId="2" applyNumberFormat="1" applyFont="1" applyFill="1" applyBorder="1" applyAlignment="1">
      <alignment horizontal="left" vertical="center" wrapText="1"/>
    </xf>
    <xf numFmtId="0" fontId="56" fillId="0" borderId="18" xfId="2" applyFont="1" applyBorder="1" applyAlignment="1">
      <alignment horizontal="center" vertical="center" wrapText="1"/>
    </xf>
    <xf numFmtId="0" fontId="58" fillId="0" borderId="42" xfId="2" applyFont="1" applyBorder="1"/>
    <xf numFmtId="2" fontId="56" fillId="0" borderId="0" xfId="2" applyNumberFormat="1" applyFont="1"/>
    <xf numFmtId="4" fontId="49" fillId="3" borderId="18" xfId="2" applyNumberFormat="1" applyFont="1" applyFill="1" applyBorder="1" applyAlignment="1">
      <alignment horizontal="center" vertical="center" wrapText="1"/>
    </xf>
    <xf numFmtId="0" fontId="58" fillId="0" borderId="18" xfId="2" applyFont="1" applyBorder="1" applyAlignment="1">
      <alignment horizontal="left"/>
    </xf>
    <xf numFmtId="0" fontId="56" fillId="0" borderId="18" xfId="2" applyFont="1" applyBorder="1" applyAlignment="1">
      <alignment horizontal="left"/>
    </xf>
    <xf numFmtId="0" fontId="62" fillId="0" borderId="18" xfId="2" applyFont="1" applyBorder="1" applyAlignment="1">
      <alignment horizontal="left"/>
    </xf>
    <xf numFmtId="4" fontId="49" fillId="3" borderId="0" xfId="2" applyNumberFormat="1" applyFont="1" applyFill="1" applyBorder="1" applyAlignment="1">
      <alignment horizontal="center" vertical="center" wrapText="1"/>
    </xf>
    <xf numFmtId="0" fontId="58" fillId="0" borderId="18" xfId="2" applyFont="1" applyBorder="1" applyAlignment="1">
      <alignment horizontal="left" wrapText="1"/>
    </xf>
    <xf numFmtId="2" fontId="58" fillId="0" borderId="36" xfId="2" applyNumberFormat="1" applyFont="1" applyBorder="1"/>
    <xf numFmtId="4" fontId="49" fillId="3" borderId="18" xfId="2" applyNumberFormat="1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4" fontId="25" fillId="2" borderId="8" xfId="0" applyNumberFormat="1" applyFont="1" applyFill="1" applyBorder="1" applyAlignment="1">
      <alignment vertical="center" wrapText="1"/>
    </xf>
    <xf numFmtId="4" fontId="26" fillId="2" borderId="18" xfId="0" applyNumberFormat="1" applyFont="1" applyFill="1" applyBorder="1" applyAlignment="1">
      <alignment horizontal="left" vertical="center" wrapText="1"/>
    </xf>
    <xf numFmtId="4" fontId="26" fillId="2" borderId="16" xfId="0" applyNumberFormat="1" applyFont="1" applyFill="1" applyBorder="1" applyAlignment="1">
      <alignment horizontal="left" vertical="center" wrapText="1"/>
    </xf>
    <xf numFmtId="4" fontId="25" fillId="2" borderId="13" xfId="0" applyNumberFormat="1" applyFont="1" applyFill="1" applyBorder="1" applyAlignment="1">
      <alignment horizontal="left" vertical="center" wrapText="1"/>
    </xf>
    <xf numFmtId="4" fontId="25" fillId="2" borderId="18" xfId="0" applyNumberFormat="1" applyFont="1" applyFill="1" applyBorder="1" applyAlignment="1">
      <alignment vertical="center" wrapText="1"/>
    </xf>
    <xf numFmtId="4" fontId="26" fillId="2" borderId="16" xfId="0" applyNumberFormat="1" applyFont="1" applyFill="1" applyBorder="1" applyAlignment="1">
      <alignment vertical="center" wrapText="1"/>
    </xf>
    <xf numFmtId="4" fontId="26" fillId="2" borderId="24" xfId="0" applyNumberFormat="1" applyFont="1" applyFill="1" applyBorder="1" applyAlignment="1">
      <alignment vertical="center" wrapText="1"/>
    </xf>
    <xf numFmtId="4" fontId="26" fillId="2" borderId="18" xfId="0" applyNumberFormat="1" applyFont="1" applyFill="1" applyBorder="1" applyAlignment="1">
      <alignment vertical="center" wrapText="1"/>
    </xf>
    <xf numFmtId="4" fontId="49" fillId="3" borderId="0" xfId="2" applyNumberFormat="1" applyFont="1" applyFill="1" applyBorder="1" applyAlignment="1">
      <alignment horizontal="center" vertical="center" wrapText="1"/>
    </xf>
    <xf numFmtId="0" fontId="54" fillId="0" borderId="0" xfId="2" applyAlignment="1">
      <alignment horizontal="center"/>
    </xf>
    <xf numFmtId="4" fontId="4" fillId="2" borderId="8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6" xfId="0" applyNumberFormat="1" applyFont="1" applyFill="1" applyBorder="1" applyAlignment="1">
      <alignment vertical="center" wrapText="1"/>
    </xf>
    <xf numFmtId="4" fontId="4" fillId="2" borderId="29" xfId="0" applyNumberFormat="1" applyFont="1" applyFill="1" applyBorder="1" applyAlignment="1">
      <alignment vertical="center" wrapText="1"/>
    </xf>
    <xf numFmtId="4" fontId="49" fillId="2" borderId="8" xfId="0" applyNumberFormat="1" applyFont="1" applyFill="1" applyBorder="1" applyAlignment="1">
      <alignment vertical="center" wrapText="1"/>
    </xf>
    <xf numFmtId="4" fontId="25" fillId="2" borderId="45" xfId="0" applyNumberFormat="1" applyFont="1" applyFill="1" applyBorder="1" applyAlignment="1">
      <alignment vertical="center" wrapText="1"/>
    </xf>
    <xf numFmtId="0" fontId="55" fillId="0" borderId="11" xfId="2" applyFont="1" applyBorder="1"/>
    <xf numFmtId="0" fontId="56" fillId="0" borderId="0" xfId="2" applyFont="1" applyAlignment="1">
      <alignment horizontal="center"/>
    </xf>
    <xf numFmtId="2" fontId="34" fillId="0" borderId="0" xfId="0" applyNumberFormat="1" applyFont="1"/>
    <xf numFmtId="4" fontId="36" fillId="2" borderId="18" xfId="0" applyNumberFormat="1" applyFont="1" applyFill="1" applyBorder="1" applyAlignment="1">
      <alignment horizontal="left" vertical="center" wrapText="1"/>
    </xf>
    <xf numFmtId="0" fontId="29" fillId="2" borderId="25" xfId="0" applyFont="1" applyFill="1" applyBorder="1" applyAlignment="1">
      <alignment vertical="center" wrapText="1"/>
    </xf>
    <xf numFmtId="0" fontId="34" fillId="0" borderId="13" xfId="0" applyFont="1" applyBorder="1" applyAlignment="1">
      <alignment wrapText="1"/>
    </xf>
    <xf numFmtId="4" fontId="36" fillId="2" borderId="5" xfId="0" applyNumberFormat="1" applyFont="1" applyFill="1" applyBorder="1" applyAlignment="1">
      <alignment vertical="center" wrapText="1"/>
    </xf>
    <xf numFmtId="0" fontId="57" fillId="0" borderId="18" xfId="2" applyFont="1" applyBorder="1"/>
    <xf numFmtId="0" fontId="57" fillId="0" borderId="0" xfId="2" applyFont="1"/>
    <xf numFmtId="0" fontId="1" fillId="0" borderId="0" xfId="0" applyFont="1"/>
    <xf numFmtId="0" fontId="59" fillId="0" borderId="0" xfId="2" applyFont="1" applyBorder="1"/>
    <xf numFmtId="4" fontId="36" fillId="2" borderId="33" xfId="0" applyNumberFormat="1" applyFont="1" applyFill="1" applyBorder="1" applyAlignment="1">
      <alignment vertical="center" wrapText="1"/>
    </xf>
    <xf numFmtId="4" fontId="36" fillId="2" borderId="6" xfId="0" applyNumberFormat="1" applyFont="1" applyFill="1" applyBorder="1" applyAlignment="1">
      <alignment horizontal="left" vertical="center" wrapText="1"/>
    </xf>
    <xf numFmtId="4" fontId="30" fillId="2" borderId="18" xfId="0" applyNumberFormat="1" applyFont="1" applyFill="1" applyBorder="1" applyAlignment="1">
      <alignment vertical="center" wrapText="1"/>
    </xf>
    <xf numFmtId="4" fontId="4" fillId="0" borderId="40" xfId="0" applyNumberFormat="1" applyFont="1" applyBorder="1" applyAlignment="1">
      <alignment horizontal="center" vertical="center"/>
    </xf>
    <xf numFmtId="4" fontId="4" fillId="2" borderId="37" xfId="0" applyNumberFormat="1" applyFont="1" applyFill="1" applyBorder="1" applyAlignment="1">
      <alignment vertical="center" wrapText="1"/>
    </xf>
    <xf numFmtId="4" fontId="49" fillId="2" borderId="16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32" fillId="2" borderId="4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50" fillId="2" borderId="16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51" fillId="2" borderId="5" xfId="0" applyNumberFormat="1" applyFont="1" applyFill="1" applyBorder="1" applyAlignment="1">
      <alignment vertical="center" wrapText="1"/>
    </xf>
    <xf numFmtId="4" fontId="52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4" fontId="52" fillId="2" borderId="8" xfId="0" applyNumberFormat="1" applyFont="1" applyFill="1" applyBorder="1" applyAlignment="1">
      <alignment vertical="center" wrapText="1"/>
    </xf>
    <xf numFmtId="4" fontId="52" fillId="2" borderId="13" xfId="0" applyNumberFormat="1" applyFont="1" applyFill="1" applyBorder="1" applyAlignment="1">
      <alignment horizontal="left" vertical="center" wrapText="1"/>
    </xf>
    <xf numFmtId="4" fontId="52" fillId="2" borderId="18" xfId="0" applyNumberFormat="1" applyFont="1" applyFill="1" applyBorder="1" applyAlignment="1">
      <alignment vertical="center" wrapText="1"/>
    </xf>
    <xf numFmtId="4" fontId="66" fillId="2" borderId="8" xfId="0" applyNumberFormat="1" applyFont="1" applyFill="1" applyBorder="1" applyAlignment="1">
      <alignment vertical="center" wrapText="1"/>
    </xf>
    <xf numFmtId="2" fontId="64" fillId="0" borderId="18" xfId="2" applyNumberFormat="1" applyFont="1" applyBorder="1"/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0" fontId="38" fillId="2" borderId="12" xfId="0" applyFont="1" applyFill="1" applyBorder="1" applyAlignment="1">
      <alignment vertical="center" wrapText="1"/>
    </xf>
    <xf numFmtId="0" fontId="38" fillId="0" borderId="21" xfId="0" applyFont="1" applyBorder="1"/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6" fillId="2" borderId="18" xfId="0" applyNumberFormat="1" applyFont="1" applyFill="1" applyBorder="1" applyAlignment="1">
      <alignment vertical="center" wrapText="1"/>
    </xf>
    <xf numFmtId="4" fontId="26" fillId="2" borderId="16" xfId="0" applyNumberFormat="1" applyFont="1" applyFill="1" applyBorder="1" applyAlignment="1">
      <alignment horizontal="left" vertical="center" wrapText="1"/>
    </xf>
    <xf numFmtId="0" fontId="54" fillId="0" borderId="0" xfId="2" applyAlignment="1">
      <alignment horizontal="center"/>
    </xf>
    <xf numFmtId="4" fontId="4" fillId="2" borderId="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vertical="center" wrapText="1"/>
    </xf>
    <xf numFmtId="0" fontId="64" fillId="0" borderId="18" xfId="2" applyFont="1" applyBorder="1"/>
    <xf numFmtId="0" fontId="56" fillId="0" borderId="16" xfId="2" applyFont="1" applyBorder="1" applyAlignment="1">
      <alignment horizontal="left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6" fillId="2" borderId="13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0" fontId="33" fillId="0" borderId="18" xfId="0" applyFont="1" applyFill="1" applyBorder="1"/>
    <xf numFmtId="4" fontId="20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9" fillId="3" borderId="0" xfId="2" applyNumberFormat="1" applyFont="1" applyFill="1" applyBorder="1" applyAlignment="1">
      <alignment horizontal="center" vertical="center" wrapText="1"/>
    </xf>
    <xf numFmtId="0" fontId="54" fillId="0" borderId="0" xfId="2" applyAlignment="1">
      <alignment horizontal="center"/>
    </xf>
    <xf numFmtId="4" fontId="4" fillId="2" borderId="8" xfId="0" applyNumberFormat="1" applyFont="1" applyFill="1" applyBorder="1" applyAlignment="1">
      <alignment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9" fillId="3" borderId="0" xfId="2" applyNumberFormat="1" applyFont="1" applyFill="1" applyBorder="1" applyAlignment="1">
      <alignment horizontal="center" vertical="center" wrapText="1"/>
    </xf>
    <xf numFmtId="0" fontId="54" fillId="0" borderId="0" xfId="2" applyAlignment="1">
      <alignment horizontal="center"/>
    </xf>
    <xf numFmtId="0" fontId="56" fillId="0" borderId="0" xfId="2" applyFont="1" applyBorder="1" applyAlignment="1">
      <alignment horizontal="left"/>
    </xf>
    <xf numFmtId="2" fontId="56" fillId="0" borderId="0" xfId="2" applyNumberFormat="1" applyFont="1" applyBorder="1"/>
    <xf numFmtId="4" fontId="5" fillId="0" borderId="0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33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9" fillId="3" borderId="0" xfId="2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45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32" fillId="2" borderId="29" xfId="0" applyNumberFormat="1" applyFont="1" applyFill="1" applyBorder="1" applyAlignment="1">
      <alignment vertical="center" wrapText="1"/>
    </xf>
    <xf numFmtId="0" fontId="33" fillId="0" borderId="18" xfId="0" applyFont="1" applyBorder="1" applyAlignment="1">
      <alignment horizontal="right" wrapText="1"/>
    </xf>
    <xf numFmtId="0" fontId="33" fillId="0" borderId="18" xfId="0" applyFont="1" applyBorder="1" applyAlignment="1">
      <alignment horizontal="right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5" fillId="0" borderId="0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11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5" fillId="0" borderId="0" xfId="0" applyNumberFormat="1" applyFont="1" applyBorder="1" applyAlignment="1">
      <alignment horizontal="center" vertical="center"/>
    </xf>
    <xf numFmtId="4" fontId="20" fillId="2" borderId="13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0" fontId="38" fillId="2" borderId="12" xfId="0" applyFont="1" applyFill="1" applyBorder="1" applyAlignment="1">
      <alignment vertical="center"/>
    </xf>
    <xf numFmtId="4" fontId="38" fillId="2" borderId="16" xfId="0" applyNumberFormat="1" applyFont="1" applyFill="1" applyBorder="1" applyAlignment="1">
      <alignment vertical="center" wrapText="1"/>
    </xf>
    <xf numFmtId="0" fontId="38" fillId="0" borderId="18" xfId="0" applyFont="1" applyBorder="1" applyAlignment="1">
      <alignment wrapText="1"/>
    </xf>
    <xf numFmtId="0" fontId="38" fillId="0" borderId="13" xfId="0" applyFont="1" applyBorder="1"/>
    <xf numFmtId="0" fontId="38" fillId="0" borderId="0" xfId="0" applyFont="1"/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2" borderId="45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5" fillId="0" borderId="0" xfId="0" applyNumberFormat="1" applyFont="1" applyBorder="1" applyAlignment="1">
      <alignment horizontal="center" vertical="center"/>
    </xf>
    <xf numFmtId="0" fontId="56" fillId="0" borderId="18" xfId="2" applyFont="1" applyBorder="1" applyAlignment="1">
      <alignment horizontal="left"/>
    </xf>
    <xf numFmtId="0" fontId="58" fillId="0" borderId="18" xfId="2" applyFont="1" applyBorder="1" applyAlignment="1">
      <alignment horizontal="left" wrapText="1"/>
    </xf>
    <xf numFmtId="0" fontId="58" fillId="0" borderId="18" xfId="2" applyFont="1" applyBorder="1" applyAlignment="1">
      <alignment horizontal="left"/>
    </xf>
    <xf numFmtId="4" fontId="49" fillId="3" borderId="18" xfId="2" applyNumberFormat="1" applyFont="1" applyFill="1" applyBorder="1" applyAlignment="1">
      <alignment horizontal="center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9" fillId="2" borderId="33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29" xfId="0" applyNumberFormat="1" applyFont="1" applyFill="1" applyBorder="1" applyAlignment="1">
      <alignment horizontal="left" vertical="center" wrapText="1"/>
    </xf>
    <xf numFmtId="4" fontId="32" fillId="2" borderId="5" xfId="0" applyNumberFormat="1" applyFont="1" applyFill="1" applyBorder="1" applyAlignment="1">
      <alignment horizontal="left" vertical="center" wrapText="1"/>
    </xf>
    <xf numFmtId="0" fontId="67" fillId="0" borderId="0" xfId="0" applyFont="1"/>
    <xf numFmtId="0" fontId="69" fillId="0" borderId="0" xfId="0" applyFont="1"/>
    <xf numFmtId="44" fontId="69" fillId="0" borderId="18" xfId="0" applyNumberFormat="1" applyFont="1" applyBorder="1"/>
    <xf numFmtId="0" fontId="69" fillId="0" borderId="18" xfId="0" applyFont="1" applyBorder="1" applyAlignment="1">
      <alignment horizontal="center"/>
    </xf>
    <xf numFmtId="0" fontId="69" fillId="0" borderId="18" xfId="0" applyFont="1" applyFill="1" applyBorder="1"/>
    <xf numFmtId="0" fontId="68" fillId="0" borderId="18" xfId="0" applyFont="1" applyBorder="1"/>
    <xf numFmtId="0" fontId="68" fillId="0" borderId="18" xfId="0" applyFont="1" applyFill="1" applyBorder="1"/>
    <xf numFmtId="0" fontId="68" fillId="0" borderId="18" xfId="0" applyFont="1" applyBorder="1" applyAlignment="1">
      <alignment horizontal="center"/>
    </xf>
    <xf numFmtId="44" fontId="68" fillId="0" borderId="18" xfId="0" applyNumberFormat="1" applyFont="1" applyBorder="1"/>
    <xf numFmtId="0" fontId="68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44" fontId="0" fillId="0" borderId="0" xfId="0" applyNumberFormat="1"/>
    <xf numFmtId="0" fontId="67" fillId="0" borderId="18" xfId="0" applyFont="1" applyBorder="1" applyAlignment="1">
      <alignment horizontal="center" vertical="center" wrapText="1"/>
    </xf>
    <xf numFmtId="44" fontId="67" fillId="0" borderId="18" xfId="0" applyNumberFormat="1" applyFont="1" applyBorder="1"/>
    <xf numFmtId="0" fontId="69" fillId="0" borderId="18" xfId="0" applyFont="1" applyBorder="1" applyAlignment="1">
      <alignment horizontal="right"/>
    </xf>
    <xf numFmtId="0" fontId="68" fillId="0" borderId="18" xfId="0" applyFont="1" applyBorder="1" applyAlignment="1">
      <alignment horizontal="right"/>
    </xf>
    <xf numFmtId="0" fontId="68" fillId="0" borderId="18" xfId="0" applyFont="1" applyFill="1" applyBorder="1" applyAlignment="1">
      <alignment horizontal="center"/>
    </xf>
    <xf numFmtId="0" fontId="56" fillId="0" borderId="18" xfId="2" applyFont="1" applyBorder="1" applyAlignment="1">
      <alignment horizontal="left"/>
    </xf>
    <xf numFmtId="0" fontId="56" fillId="0" borderId="18" xfId="2" applyFont="1" applyBorder="1" applyAlignment="1">
      <alignment horizontal="left"/>
    </xf>
    <xf numFmtId="0" fontId="70" fillId="0" borderId="18" xfId="0" applyFont="1" applyBorder="1" applyAlignment="1">
      <alignment horizontal="right"/>
    </xf>
    <xf numFmtId="0" fontId="70" fillId="0" borderId="18" xfId="0" applyFont="1" applyFill="1" applyBorder="1"/>
    <xf numFmtId="0" fontId="70" fillId="0" borderId="18" xfId="0" applyFont="1" applyBorder="1" applyAlignment="1">
      <alignment horizontal="center"/>
    </xf>
    <xf numFmtId="44" fontId="70" fillId="0" borderId="18" xfId="0" applyNumberFormat="1" applyFont="1" applyBorder="1"/>
    <xf numFmtId="0" fontId="71" fillId="0" borderId="18" xfId="0" applyFont="1" applyBorder="1" applyAlignment="1">
      <alignment horizontal="center"/>
    </xf>
    <xf numFmtId="0" fontId="71" fillId="0" borderId="18" xfId="0" applyFont="1" applyBorder="1" applyAlignment="1">
      <alignment horizontal="right"/>
    </xf>
    <xf numFmtId="0" fontId="71" fillId="0" borderId="18" xfId="0" applyFont="1" applyFill="1" applyBorder="1"/>
    <xf numFmtId="0" fontId="71" fillId="0" borderId="18" xfId="0" applyFont="1" applyBorder="1"/>
    <xf numFmtId="0" fontId="70" fillId="0" borderId="18" xfId="0" applyFont="1" applyFill="1" applyBorder="1" applyAlignment="1">
      <alignment horizontal="center"/>
    </xf>
    <xf numFmtId="0" fontId="71" fillId="0" borderId="18" xfId="0" applyFont="1" applyBorder="1" applyAlignment="1">
      <alignment horizontal="right" vertical="center" wrapText="1"/>
    </xf>
    <xf numFmtId="0" fontId="71" fillId="0" borderId="18" xfId="0" applyFont="1" applyBorder="1" applyAlignment="1">
      <alignment horizontal="left" vertical="center"/>
    </xf>
    <xf numFmtId="0" fontId="71" fillId="0" borderId="18" xfId="0" applyFont="1" applyBorder="1" applyAlignment="1">
      <alignment horizontal="center" vertical="center" wrapText="1"/>
    </xf>
    <xf numFmtId="44" fontId="70" fillId="0" borderId="18" xfId="0" applyNumberFormat="1" applyFont="1" applyBorder="1" applyAlignment="1">
      <alignment horizontal="center" vertical="center" wrapText="1"/>
    </xf>
    <xf numFmtId="0" fontId="70" fillId="0" borderId="18" xfId="0" applyFont="1" applyBorder="1" applyAlignment="1">
      <alignment horizontal="right" vertical="center" wrapText="1"/>
    </xf>
    <xf numFmtId="0" fontId="70" fillId="0" borderId="18" xfId="0" applyFont="1" applyBorder="1" applyAlignment="1">
      <alignment horizontal="left" vertical="center"/>
    </xf>
    <xf numFmtId="0" fontId="70" fillId="0" borderId="18" xfId="0" applyFont="1" applyBorder="1" applyAlignment="1">
      <alignment horizontal="center" vertical="center" wrapText="1"/>
    </xf>
    <xf numFmtId="0" fontId="56" fillId="0" borderId="18" xfId="2" applyFont="1" applyBorder="1" applyAlignment="1">
      <alignment horizontal="left"/>
    </xf>
    <xf numFmtId="4" fontId="49" fillId="3" borderId="0" xfId="2" applyNumberFormat="1" applyFont="1" applyFill="1" applyBorder="1" applyAlignment="1">
      <alignment horizontal="center" vertical="center" wrapText="1"/>
    </xf>
    <xf numFmtId="0" fontId="56" fillId="0" borderId="18" xfId="2" applyFont="1" applyBorder="1" applyAlignment="1">
      <alignment horizontal="left"/>
    </xf>
    <xf numFmtId="0" fontId="58" fillId="0" borderId="18" xfId="2" applyFont="1" applyBorder="1" applyAlignment="1">
      <alignment horizontal="left" wrapText="1"/>
    </xf>
    <xf numFmtId="0" fontId="58" fillId="0" borderId="18" xfId="2" applyFont="1" applyBorder="1" applyAlignment="1">
      <alignment horizontal="left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49" fillId="3" borderId="18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49" fillId="3" borderId="42" xfId="2" applyNumberFormat="1" applyFont="1" applyFill="1" applyBorder="1" applyAlignment="1">
      <alignment horizontal="center" vertical="center" wrapText="1"/>
    </xf>
    <xf numFmtId="4" fontId="25" fillId="2" borderId="40" xfId="0" applyNumberFormat="1" applyFont="1" applyFill="1" applyBorder="1" applyAlignment="1">
      <alignment horizontal="left" vertical="center" wrapText="1"/>
    </xf>
    <xf numFmtId="4" fontId="25" fillId="2" borderId="41" xfId="0" applyNumberFormat="1" applyFont="1" applyFill="1" applyBorder="1" applyAlignment="1">
      <alignment horizontal="left" vertical="center" wrapText="1"/>
    </xf>
    <xf numFmtId="4" fontId="36" fillId="2" borderId="8" xfId="0" applyNumberFormat="1" applyFont="1" applyFill="1" applyBorder="1" applyAlignment="1">
      <alignment vertical="center" wrapText="1"/>
    </xf>
    <xf numFmtId="4" fontId="36" fillId="2" borderId="23" xfId="0" applyNumberFormat="1" applyFont="1" applyFill="1" applyBorder="1" applyAlignment="1">
      <alignment vertical="center" wrapText="1"/>
    </xf>
    <xf numFmtId="0" fontId="26" fillId="2" borderId="16" xfId="0" applyFont="1" applyFill="1" applyBorder="1" applyAlignment="1">
      <alignment vertical="center" wrapText="1"/>
    </xf>
    <xf numFmtId="0" fontId="26" fillId="2" borderId="36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5" fillId="2" borderId="8" xfId="0" applyNumberFormat="1" applyFont="1" applyFill="1" applyBorder="1" applyAlignment="1">
      <alignment horizontal="left" vertical="center" wrapText="1"/>
    </xf>
    <xf numFmtId="4" fontId="25" fillId="2" borderId="23" xfId="0" applyNumberFormat="1" applyFont="1" applyFill="1" applyBorder="1" applyAlignment="1">
      <alignment horizontal="left" vertical="center" wrapText="1"/>
    </xf>
    <xf numFmtId="4" fontId="25" fillId="2" borderId="8" xfId="0" applyNumberFormat="1" applyFont="1" applyFill="1" applyBorder="1" applyAlignment="1">
      <alignment vertical="center" wrapText="1"/>
    </xf>
    <xf numFmtId="4" fontId="25" fillId="2" borderId="23" xfId="0" applyNumberFormat="1" applyFont="1" applyFill="1" applyBorder="1" applyAlignment="1">
      <alignment vertical="center" wrapText="1"/>
    </xf>
    <xf numFmtId="4" fontId="26" fillId="2" borderId="18" xfId="0" applyNumberFormat="1" applyFont="1" applyFill="1" applyBorder="1" applyAlignment="1">
      <alignment horizontal="left" vertical="center" wrapText="1"/>
    </xf>
    <xf numFmtId="4" fontId="26" fillId="2" borderId="16" xfId="0" applyNumberFormat="1" applyFont="1" applyFill="1" applyBorder="1" applyAlignment="1">
      <alignment horizontal="left" vertical="center" wrapText="1"/>
    </xf>
    <xf numFmtId="4" fontId="25" fillId="2" borderId="2" xfId="0" applyNumberFormat="1" applyFont="1" applyFill="1" applyBorder="1" applyAlignment="1">
      <alignment horizontal="left" vertical="center" wrapText="1"/>
    </xf>
    <xf numFmtId="4" fontId="25" fillId="2" borderId="13" xfId="0" applyNumberFormat="1" applyFont="1" applyFill="1" applyBorder="1" applyAlignment="1">
      <alignment horizontal="left" vertical="center" wrapText="1"/>
    </xf>
    <xf numFmtId="4" fontId="25" fillId="2" borderId="11" xfId="0" applyNumberFormat="1" applyFont="1" applyFill="1" applyBorder="1" applyAlignment="1">
      <alignment horizontal="left" vertical="center" wrapText="1"/>
    </xf>
    <xf numFmtId="4" fontId="25" fillId="2" borderId="18" xfId="0" applyNumberFormat="1" applyFont="1" applyFill="1" applyBorder="1" applyAlignment="1">
      <alignment vertical="center" wrapText="1"/>
    </xf>
    <xf numFmtId="4" fontId="25" fillId="2" borderId="16" xfId="0" applyNumberFormat="1" applyFont="1" applyFill="1" applyBorder="1" applyAlignment="1">
      <alignment vertical="center" wrapText="1"/>
    </xf>
    <xf numFmtId="1" fontId="35" fillId="0" borderId="0" xfId="0" applyNumberFormat="1" applyFont="1" applyFill="1" applyAlignment="1">
      <alignment horizontal="center" vertical="center"/>
    </xf>
    <xf numFmtId="4" fontId="26" fillId="2" borderId="16" xfId="0" applyNumberFormat="1" applyFont="1" applyFill="1" applyBorder="1" applyAlignment="1">
      <alignment vertical="center" wrapText="1"/>
    </xf>
    <xf numFmtId="4" fontId="26" fillId="2" borderId="36" xfId="0" applyNumberFormat="1" applyFont="1" applyFill="1" applyBorder="1" applyAlignment="1">
      <alignment vertical="center" wrapText="1"/>
    </xf>
    <xf numFmtId="4" fontId="26" fillId="2" borderId="24" xfId="0" applyNumberFormat="1" applyFont="1" applyFill="1" applyBorder="1" applyAlignment="1">
      <alignment vertical="center" wrapText="1"/>
    </xf>
    <xf numFmtId="4" fontId="26" fillId="2" borderId="43" xfId="0" applyNumberFormat="1" applyFont="1" applyFill="1" applyBorder="1" applyAlignment="1">
      <alignment vertical="center" wrapText="1"/>
    </xf>
    <xf numFmtId="0" fontId="36" fillId="2" borderId="5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 wrapText="1"/>
    </xf>
    <xf numFmtId="4" fontId="25" fillId="2" borderId="44" xfId="0" applyNumberFormat="1" applyFont="1" applyFill="1" applyBorder="1" applyAlignment="1">
      <alignment vertical="center" wrapText="1"/>
    </xf>
    <xf numFmtId="4" fontId="25" fillId="2" borderId="5" xfId="0" applyNumberFormat="1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4" fontId="30" fillId="2" borderId="8" xfId="0" applyNumberFormat="1" applyFont="1" applyFill="1" applyBorder="1" applyAlignment="1">
      <alignment vertical="center" wrapText="1"/>
    </xf>
    <xf numFmtId="0" fontId="31" fillId="2" borderId="23" xfId="0" applyFont="1" applyFill="1" applyBorder="1" applyAlignment="1">
      <alignment vertical="center"/>
    </xf>
    <xf numFmtId="4" fontId="26" fillId="2" borderId="18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4" fontId="49" fillId="3" borderId="0" xfId="2" applyNumberFormat="1" applyFont="1" applyFill="1" applyBorder="1" applyAlignment="1">
      <alignment horizontal="center" vertical="center" wrapText="1"/>
    </xf>
    <xf numFmtId="0" fontId="54" fillId="0" borderId="0" xfId="2" applyAlignment="1">
      <alignment horizontal="center"/>
    </xf>
    <xf numFmtId="0" fontId="0" fillId="0" borderId="0" xfId="0" applyAlignment="1">
      <alignment horizontal="center"/>
    </xf>
    <xf numFmtId="4" fontId="4" fillId="2" borderId="8" xfId="0" applyNumberFormat="1" applyFont="1" applyFill="1" applyBorder="1" applyAlignment="1">
      <alignment vertical="center" wrapText="1"/>
    </xf>
    <xf numFmtId="4" fontId="4" fillId="2" borderId="2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23" xfId="0" applyNumberFormat="1" applyFont="1" applyFill="1" applyBorder="1" applyAlignment="1">
      <alignment horizontal="left" vertical="center" wrapText="1"/>
    </xf>
    <xf numFmtId="4" fontId="4" fillId="2" borderId="45" xfId="0" applyNumberFormat="1" applyFont="1" applyFill="1" applyBorder="1" applyAlignment="1">
      <alignment vertical="center" wrapText="1"/>
    </xf>
    <xf numFmtId="4" fontId="49" fillId="2" borderId="33" xfId="0" applyNumberFormat="1" applyFont="1" applyFill="1" applyBorder="1" applyAlignment="1">
      <alignment vertical="center" wrapText="1"/>
    </xf>
    <xf numFmtId="0" fontId="65" fillId="2" borderId="23" xfId="0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1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16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 horizontal="center" vertical="center"/>
    </xf>
    <xf numFmtId="4" fontId="61" fillId="2" borderId="0" xfId="0" applyNumberFormat="1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vertical="center" wrapText="1"/>
    </xf>
    <xf numFmtId="0" fontId="26" fillId="2" borderId="43" xfId="0" applyFont="1" applyFill="1" applyBorder="1" applyAlignment="1">
      <alignment vertical="center" wrapText="1"/>
    </xf>
    <xf numFmtId="4" fontId="26" fillId="2" borderId="21" xfId="0" applyNumberFormat="1" applyFont="1" applyFill="1" applyBorder="1" applyAlignment="1">
      <alignment horizontal="left" vertical="center" wrapText="1"/>
    </xf>
    <xf numFmtId="4" fontId="26" fillId="2" borderId="24" xfId="0" applyNumberFormat="1" applyFont="1" applyFill="1" applyBorder="1" applyAlignment="1">
      <alignment horizontal="left" vertical="center" wrapText="1"/>
    </xf>
    <xf numFmtId="4" fontId="43" fillId="2" borderId="18" xfId="0" applyNumberFormat="1" applyFont="1" applyFill="1" applyBorder="1" applyAlignment="1">
      <alignment horizontal="left" vertical="center" wrapText="1"/>
    </xf>
    <xf numFmtId="4" fontId="43" fillId="2" borderId="16" xfId="0" applyNumberFormat="1" applyFont="1" applyFill="1" applyBorder="1" applyAlignment="1">
      <alignment horizontal="left" vertical="center" wrapText="1"/>
    </xf>
    <xf numFmtId="4" fontId="43" fillId="2" borderId="36" xfId="0" applyNumberFormat="1" applyFont="1" applyFill="1" applyBorder="1" applyAlignment="1">
      <alignment horizontal="left"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43" fillId="2" borderId="24" xfId="0" applyNumberFormat="1" applyFont="1" applyFill="1" applyBorder="1" applyAlignment="1">
      <alignment horizontal="left" vertical="center" wrapText="1"/>
    </xf>
    <xf numFmtId="4" fontId="43" fillId="2" borderId="43" xfId="0" applyNumberFormat="1" applyFont="1" applyFill="1" applyBorder="1" applyAlignment="1">
      <alignment horizontal="left" vertical="center" wrapText="1"/>
    </xf>
    <xf numFmtId="4" fontId="42" fillId="2" borderId="2" xfId="0" applyNumberFormat="1" applyFont="1" applyFill="1" applyBorder="1" applyAlignment="1">
      <alignment horizontal="left" vertical="center" wrapText="1"/>
    </xf>
    <xf numFmtId="4" fontId="42" fillId="2" borderId="8" xfId="0" applyNumberFormat="1" applyFont="1" applyFill="1" applyBorder="1" applyAlignment="1">
      <alignment horizontal="left" vertical="center" wrapText="1"/>
    </xf>
    <xf numFmtId="4" fontId="42" fillId="2" borderId="13" xfId="0" applyNumberFormat="1" applyFont="1" applyFill="1" applyBorder="1" applyAlignment="1">
      <alignment horizontal="left" vertical="center" wrapText="1"/>
    </xf>
    <xf numFmtId="4" fontId="42" fillId="2" borderId="11" xfId="0" applyNumberFormat="1" applyFont="1" applyFill="1" applyBorder="1" applyAlignment="1">
      <alignment horizontal="left" vertical="center" wrapText="1"/>
    </xf>
    <xf numFmtId="4" fontId="42" fillId="2" borderId="18" xfId="0" applyNumberFormat="1" applyFont="1" applyFill="1" applyBorder="1" applyAlignment="1">
      <alignment vertical="center" wrapText="1"/>
    </xf>
    <xf numFmtId="4" fontId="42" fillId="2" borderId="16" xfId="0" applyNumberFormat="1" applyFont="1" applyFill="1" applyBorder="1" applyAlignment="1">
      <alignment vertical="center" wrapText="1"/>
    </xf>
    <xf numFmtId="4" fontId="43" fillId="2" borderId="24" xfId="0" applyNumberFormat="1" applyFont="1" applyFill="1" applyBorder="1" applyAlignment="1">
      <alignment vertical="center" wrapText="1"/>
    </xf>
    <xf numFmtId="4" fontId="43" fillId="2" borderId="43" xfId="0" applyNumberFormat="1" applyFont="1" applyFill="1" applyBorder="1" applyAlignment="1">
      <alignment vertical="center" wrapText="1"/>
    </xf>
    <xf numFmtId="4" fontId="42" fillId="2" borderId="23" xfId="0" applyNumberFormat="1" applyFont="1" applyFill="1" applyBorder="1" applyAlignment="1">
      <alignment horizontal="left" vertical="center" wrapText="1"/>
    </xf>
    <xf numFmtId="0" fontId="42" fillId="2" borderId="5" xfId="0" applyFont="1" applyFill="1" applyBorder="1" applyAlignment="1">
      <alignment vertical="center" wrapText="1"/>
    </xf>
    <xf numFmtId="0" fontId="42" fillId="2" borderId="0" xfId="0" applyFont="1" applyFill="1" applyBorder="1" applyAlignment="1">
      <alignment vertical="center" wrapText="1"/>
    </xf>
    <xf numFmtId="4" fontId="42" fillId="2" borderId="44" xfId="0" applyNumberFormat="1" applyFont="1" applyFill="1" applyBorder="1" applyAlignment="1">
      <alignment vertical="center" wrapText="1"/>
    </xf>
    <xf numFmtId="4" fontId="42" fillId="2" borderId="8" xfId="0" applyNumberFormat="1" applyFont="1" applyFill="1" applyBorder="1" applyAlignment="1">
      <alignment vertical="center" wrapText="1"/>
    </xf>
    <xf numFmtId="4" fontId="42" fillId="2" borderId="5" xfId="0" applyNumberFormat="1" applyFont="1" applyFill="1" applyBorder="1" applyAlignment="1">
      <alignment vertical="center" wrapText="1"/>
    </xf>
    <xf numFmtId="0" fontId="43" fillId="2" borderId="0" xfId="0" applyFont="1" applyFill="1" applyBorder="1" applyAlignment="1">
      <alignment vertical="center"/>
    </xf>
    <xf numFmtId="4" fontId="46" fillId="2" borderId="8" xfId="0" applyNumberFormat="1" applyFont="1" applyFill="1" applyBorder="1" applyAlignment="1">
      <alignment vertical="center" wrapText="1"/>
    </xf>
    <xf numFmtId="0" fontId="47" fillId="2" borderId="23" xfId="0" applyFont="1" applyFill="1" applyBorder="1" applyAlignment="1">
      <alignment vertical="center"/>
    </xf>
    <xf numFmtId="4" fontId="26" fillId="2" borderId="36" xfId="0" applyNumberFormat="1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4" fontId="26" fillId="2" borderId="43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4" fontId="5" fillId="2" borderId="33" xfId="0" applyNumberFormat="1" applyFont="1" applyFill="1" applyBorder="1" applyAlignment="1">
      <alignment horizontal="left" vertical="center" wrapText="1"/>
    </xf>
    <xf numFmtId="4" fontId="5" fillId="2" borderId="34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4" fontId="2" fillId="2" borderId="18" xfId="0" applyNumberFormat="1" applyFont="1" applyFill="1" applyBorder="1" applyAlignment="1">
      <alignment horizontal="left" vertical="center" wrapText="1"/>
    </xf>
    <xf numFmtId="4" fontId="2" fillId="2" borderId="21" xfId="0" applyNumberFormat="1" applyFont="1" applyFill="1" applyBorder="1" applyAlignment="1">
      <alignment horizontal="left" vertical="center" wrapText="1"/>
    </xf>
    <xf numFmtId="4" fontId="5" fillId="2" borderId="8" xfId="0" applyNumberFormat="1" applyFont="1" applyFill="1" applyBorder="1" applyAlignment="1">
      <alignment vertical="center" wrapText="1"/>
    </xf>
    <xf numFmtId="4" fontId="5" fillId="2" borderId="23" xfId="0" applyNumberFormat="1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horizontal="left" vertical="center" wrapText="1"/>
    </xf>
    <xf numFmtId="4" fontId="2" fillId="2" borderId="17" xfId="0" applyNumberFormat="1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4" fontId="5" fillId="2" borderId="8" xfId="0" applyNumberFormat="1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left" vertical="center" wrapText="1"/>
    </xf>
    <xf numFmtId="4" fontId="2" fillId="2" borderId="16" xfId="0" applyNumberFormat="1" applyFont="1" applyFill="1" applyBorder="1" applyAlignment="1">
      <alignment vertical="center" wrapText="1"/>
    </xf>
    <xf numFmtId="4" fontId="2" fillId="2" borderId="17" xfId="0" applyNumberFormat="1" applyFont="1" applyFill="1" applyBorder="1" applyAlignment="1">
      <alignment vertical="center" wrapText="1"/>
    </xf>
    <xf numFmtId="4" fontId="2" fillId="2" borderId="24" xfId="0" applyNumberFormat="1" applyFont="1" applyFill="1" applyBorder="1" applyAlignment="1">
      <alignment vertical="center" wrapText="1"/>
    </xf>
    <xf numFmtId="4" fontId="2" fillId="2" borderId="25" xfId="0" applyNumberFormat="1" applyFont="1" applyFill="1" applyBorder="1" applyAlignment="1">
      <alignment vertical="center" wrapText="1"/>
    </xf>
    <xf numFmtId="4" fontId="6" fillId="2" borderId="18" xfId="0" applyNumberFormat="1" applyFont="1" applyFill="1" applyBorder="1" applyAlignment="1">
      <alignment vertical="center" wrapText="1"/>
    </xf>
    <xf numFmtId="4" fontId="2" fillId="2" borderId="18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left" vertical="center" wrapText="1"/>
    </xf>
    <xf numFmtId="4" fontId="6" fillId="2" borderId="13" xfId="0" applyNumberFormat="1" applyFont="1" applyFill="1" applyBorder="1" applyAlignment="1">
      <alignment horizontal="left" vertical="center" wrapText="1"/>
    </xf>
    <xf numFmtId="4" fontId="2" fillId="2" borderId="24" xfId="0" applyNumberFormat="1" applyFont="1" applyFill="1" applyBorder="1" applyAlignment="1">
      <alignment horizontal="left" vertical="center" wrapText="1"/>
    </xf>
    <xf numFmtId="4" fontId="2" fillId="2" borderId="25" xfId="0" applyNumberFormat="1" applyFont="1" applyFill="1" applyBorder="1" applyAlignment="1">
      <alignment horizontal="left" vertical="center" wrapText="1"/>
    </xf>
    <xf numFmtId="4" fontId="17" fillId="2" borderId="24" xfId="0" applyNumberFormat="1" applyFont="1" applyFill="1" applyBorder="1" applyAlignment="1">
      <alignment vertical="center" wrapText="1"/>
    </xf>
    <xf numFmtId="4" fontId="17" fillId="2" borderId="25" xfId="0" applyNumberFormat="1" applyFont="1" applyFill="1" applyBorder="1" applyAlignment="1">
      <alignment vertical="center" wrapText="1"/>
    </xf>
    <xf numFmtId="4" fontId="18" fillId="2" borderId="16" xfId="0" applyNumberFormat="1" applyFont="1" applyFill="1" applyBorder="1" applyAlignment="1">
      <alignment vertical="center" wrapText="1"/>
    </xf>
    <xf numFmtId="4" fontId="18" fillId="2" borderId="17" xfId="0" applyNumberFormat="1" applyFont="1" applyFill="1" applyBorder="1" applyAlignment="1">
      <alignment vertical="center" wrapText="1"/>
    </xf>
    <xf numFmtId="4" fontId="16" fillId="2" borderId="18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/>
    </xf>
    <xf numFmtId="4" fontId="13" fillId="2" borderId="8" xfId="0" applyNumberFormat="1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vertical="center" wrapText="1"/>
    </xf>
    <xf numFmtId="4" fontId="16" fillId="2" borderId="16" xfId="0" applyNumberFormat="1" applyFont="1" applyFill="1" applyBorder="1" applyAlignment="1">
      <alignment vertical="center" wrapText="1"/>
    </xf>
    <xf numFmtId="4" fontId="16" fillId="2" borderId="17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4" fontId="19" fillId="2" borderId="16" xfId="0" applyNumberFormat="1" applyFont="1" applyFill="1" applyBorder="1" applyAlignment="1">
      <alignment vertical="center" wrapText="1"/>
    </xf>
    <xf numFmtId="4" fontId="19" fillId="2" borderId="17" xfId="0" applyNumberFormat="1" applyFont="1" applyFill="1" applyBorder="1" applyAlignment="1">
      <alignment vertical="center" wrapText="1"/>
    </xf>
    <xf numFmtId="4" fontId="17" fillId="2" borderId="16" xfId="0" applyNumberFormat="1" applyFont="1" applyFill="1" applyBorder="1" applyAlignment="1">
      <alignment vertical="center" wrapText="1"/>
    </xf>
    <xf numFmtId="4" fontId="17" fillId="2" borderId="17" xfId="0" applyNumberFormat="1" applyFont="1" applyFill="1" applyBorder="1" applyAlignment="1">
      <alignment vertical="center" wrapText="1"/>
    </xf>
    <xf numFmtId="4" fontId="17" fillId="2" borderId="18" xfId="0" applyNumberFormat="1" applyFont="1" applyFill="1" applyBorder="1" applyAlignment="1">
      <alignment vertical="center" wrapText="1"/>
    </xf>
    <xf numFmtId="4" fontId="18" fillId="2" borderId="18" xfId="0" applyNumberFormat="1" applyFont="1" applyFill="1" applyBorder="1" applyAlignment="1">
      <alignment vertical="center" wrapText="1"/>
    </xf>
    <xf numFmtId="4" fontId="18" fillId="2" borderId="11" xfId="0" applyNumberFormat="1" applyFont="1" applyFill="1" applyBorder="1" applyAlignment="1">
      <alignment vertical="center" wrapText="1"/>
    </xf>
    <xf numFmtId="4" fontId="18" fillId="2" borderId="12" xfId="0" applyNumberFormat="1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4" fontId="13" fillId="2" borderId="29" xfId="0" applyNumberFormat="1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/>
    </xf>
    <xf numFmtId="4" fontId="23" fillId="2" borderId="33" xfId="0" applyNumberFormat="1" applyFont="1" applyFill="1" applyBorder="1" applyAlignment="1">
      <alignment vertical="center" wrapText="1"/>
    </xf>
    <xf numFmtId="0" fontId="24" fillId="2" borderId="34" xfId="0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18" fillId="2" borderId="24" xfId="0" applyNumberFormat="1" applyFont="1" applyFill="1" applyBorder="1" applyAlignment="1">
      <alignment vertical="center" wrapText="1"/>
    </xf>
    <xf numFmtId="4" fontId="18" fillId="2" borderId="25" xfId="0" applyNumberFormat="1" applyFont="1" applyFill="1" applyBorder="1" applyAlignment="1">
      <alignment vertical="center" wrapText="1"/>
    </xf>
    <xf numFmtId="4" fontId="2" fillId="2" borderId="21" xfId="0" applyNumberFormat="1" applyFont="1" applyFill="1" applyBorder="1" applyAlignment="1">
      <alignment vertical="center" wrapText="1"/>
    </xf>
    <xf numFmtId="0" fontId="68" fillId="0" borderId="0" xfId="0" applyFont="1" applyAlignment="1">
      <alignment horizontal="center"/>
    </xf>
  </cellXfs>
  <cellStyles count="3">
    <cellStyle name="TableStyleLight1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9"/>
  <sheetViews>
    <sheetView topLeftCell="A35" workbookViewId="0">
      <selection activeCell="C41" sqref="C41"/>
    </sheetView>
  </sheetViews>
  <sheetFormatPr defaultRowHeight="15"/>
  <cols>
    <col min="1" max="1" width="81.5703125" customWidth="1"/>
    <col min="2" max="2" width="0.28515625" customWidth="1"/>
    <col min="3" max="3" width="18.85546875" customWidth="1"/>
    <col min="4" max="4" width="18.5703125" customWidth="1"/>
  </cols>
  <sheetData>
    <row r="1" spans="1:3" ht="15.75">
      <c r="A1" s="701" t="s">
        <v>364</v>
      </c>
      <c r="B1" s="701"/>
      <c r="C1" s="701"/>
    </row>
    <row r="2" spans="1:3" ht="15.75">
      <c r="A2" s="702" t="s">
        <v>289</v>
      </c>
      <c r="B2" s="702"/>
      <c r="C2" s="702"/>
    </row>
    <row r="3" spans="1:3" s="55" customFormat="1" ht="15.75">
      <c r="A3" s="702" t="s">
        <v>1567</v>
      </c>
      <c r="B3" s="702"/>
      <c r="C3" s="702"/>
    </row>
    <row r="4" spans="1:3" s="55" customFormat="1" ht="15.75">
      <c r="A4" s="92"/>
      <c r="B4" s="86"/>
      <c r="C4" s="86"/>
    </row>
    <row r="5" spans="1:3" ht="15.75" thickBot="1">
      <c r="A5" s="360" t="s">
        <v>229</v>
      </c>
      <c r="B5" s="83" t="s">
        <v>238</v>
      </c>
      <c r="C5" s="82" t="s">
        <v>1336</v>
      </c>
    </row>
    <row r="6" spans="1:3" ht="15.75" thickBot="1">
      <c r="A6" s="365" t="s">
        <v>56</v>
      </c>
      <c r="B6" s="72"/>
      <c r="C6" s="72"/>
    </row>
    <row r="7" spans="1:3" ht="15.75" thickBot="1">
      <c r="A7" s="364" t="s">
        <v>57</v>
      </c>
      <c r="B7" s="72"/>
      <c r="C7" s="72"/>
    </row>
    <row r="8" spans="1:3" s="73" customFormat="1" ht="29.25" thickBot="1">
      <c r="A8" s="363" t="s">
        <v>1362</v>
      </c>
      <c r="B8" s="72" t="s">
        <v>901</v>
      </c>
      <c r="C8" s="72">
        <v>4</v>
      </c>
    </row>
    <row r="9" spans="1:3">
      <c r="A9" s="366" t="s">
        <v>66</v>
      </c>
      <c r="B9" s="72"/>
      <c r="C9" s="72"/>
    </row>
    <row r="10" spans="1:3">
      <c r="A10" s="367" t="s">
        <v>590</v>
      </c>
      <c r="B10" s="72"/>
      <c r="C10" s="72"/>
    </row>
    <row r="11" spans="1:3" s="73" customFormat="1" ht="26.25" customHeight="1">
      <c r="A11" s="368" t="s">
        <v>1343</v>
      </c>
      <c r="B11" s="94" t="s">
        <v>1344</v>
      </c>
      <c r="C11" s="72">
        <v>3</v>
      </c>
    </row>
    <row r="12" spans="1:3" s="73" customFormat="1">
      <c r="A12" s="368" t="s">
        <v>1345</v>
      </c>
      <c r="B12" s="72" t="s">
        <v>1346</v>
      </c>
      <c r="C12" s="72">
        <v>4</v>
      </c>
    </row>
    <row r="13" spans="1:3" s="73" customFormat="1" ht="31.5" customHeight="1">
      <c r="A13" s="368" t="s">
        <v>1347</v>
      </c>
      <c r="B13" s="94" t="s">
        <v>1348</v>
      </c>
      <c r="C13" s="72">
        <v>4</v>
      </c>
    </row>
    <row r="14" spans="1:3" s="73" customFormat="1" ht="28.5">
      <c r="A14" s="361" t="s">
        <v>1349</v>
      </c>
      <c r="B14" s="72" t="s">
        <v>1350</v>
      </c>
      <c r="C14" s="72">
        <v>4</v>
      </c>
    </row>
    <row r="15" spans="1:3" s="73" customFormat="1">
      <c r="A15" s="226" t="s">
        <v>1351</v>
      </c>
      <c r="B15" s="72" t="s">
        <v>866</v>
      </c>
      <c r="C15" s="72">
        <v>3</v>
      </c>
    </row>
    <row r="16" spans="1:3" s="73" customFormat="1" ht="28.5">
      <c r="A16" s="368" t="s">
        <v>1352</v>
      </c>
      <c r="B16" s="72" t="s">
        <v>868</v>
      </c>
      <c r="C16" s="72">
        <v>2</v>
      </c>
    </row>
    <row r="17" spans="1:3" s="73" customFormat="1">
      <c r="A17" s="368" t="s">
        <v>1358</v>
      </c>
      <c r="B17" s="72" t="s">
        <v>1359</v>
      </c>
      <c r="C17" s="72">
        <v>4.5</v>
      </c>
    </row>
    <row r="18" spans="1:3" s="73" customFormat="1" ht="33" customHeight="1">
      <c r="A18" s="368" t="s">
        <v>1360</v>
      </c>
      <c r="B18" s="94" t="s">
        <v>1361</v>
      </c>
      <c r="C18" s="72">
        <v>6</v>
      </c>
    </row>
    <row r="19" spans="1:3" ht="15" customHeight="1">
      <c r="A19" s="367" t="s">
        <v>102</v>
      </c>
      <c r="B19" s="72"/>
      <c r="C19" s="72"/>
    </row>
    <row r="20" spans="1:3" s="73" customFormat="1">
      <c r="A20" s="368" t="s">
        <v>1337</v>
      </c>
      <c r="B20" s="72" t="s">
        <v>241</v>
      </c>
      <c r="C20" s="72">
        <v>1</v>
      </c>
    </row>
    <row r="21" spans="1:3" s="73" customFormat="1">
      <c r="A21" s="368" t="s">
        <v>1338</v>
      </c>
      <c r="B21" s="72" t="s">
        <v>241</v>
      </c>
      <c r="C21" s="72">
        <v>1</v>
      </c>
    </row>
    <row r="22" spans="1:3" s="73" customFormat="1">
      <c r="A22" s="361" t="s">
        <v>1339</v>
      </c>
      <c r="B22" s="72" t="s">
        <v>241</v>
      </c>
      <c r="C22" s="72">
        <v>1</v>
      </c>
    </row>
    <row r="23" spans="1:3" s="73" customFormat="1" ht="28.5">
      <c r="A23" s="368" t="s">
        <v>1340</v>
      </c>
      <c r="B23" s="72" t="s">
        <v>241</v>
      </c>
      <c r="C23" s="72">
        <v>1.5</v>
      </c>
    </row>
    <row r="24" spans="1:3" s="73" customFormat="1" ht="28.5">
      <c r="A24" s="368" t="s">
        <v>1341</v>
      </c>
      <c r="B24" s="72" t="s">
        <v>241</v>
      </c>
      <c r="C24" s="72">
        <v>1</v>
      </c>
    </row>
    <row r="25" spans="1:3" s="73" customFormat="1" ht="28.5">
      <c r="A25" s="361" t="s">
        <v>1342</v>
      </c>
      <c r="B25" s="72" t="s">
        <v>241</v>
      </c>
      <c r="C25" s="72">
        <v>2</v>
      </c>
    </row>
    <row r="26" spans="1:3" s="73" customFormat="1">
      <c r="A26" s="361" t="s">
        <v>1353</v>
      </c>
      <c r="B26" s="72" t="s">
        <v>241</v>
      </c>
      <c r="C26" s="72">
        <v>1</v>
      </c>
    </row>
    <row r="27" spans="1:3" s="73" customFormat="1">
      <c r="A27" s="361" t="s">
        <v>1354</v>
      </c>
      <c r="B27" s="72" t="s">
        <v>275</v>
      </c>
      <c r="C27" s="72">
        <v>1</v>
      </c>
    </row>
    <row r="28" spans="1:3" s="73" customFormat="1">
      <c r="A28" s="361" t="s">
        <v>1355</v>
      </c>
      <c r="B28" s="72" t="s">
        <v>241</v>
      </c>
      <c r="C28" s="72">
        <v>1</v>
      </c>
    </row>
    <row r="29" spans="1:3" s="73" customFormat="1">
      <c r="A29" s="361" t="s">
        <v>1356</v>
      </c>
      <c r="B29" s="72" t="s">
        <v>253</v>
      </c>
      <c r="C29" s="72">
        <v>1</v>
      </c>
    </row>
    <row r="30" spans="1:3" s="73" customFormat="1">
      <c r="A30" s="361" t="s">
        <v>1357</v>
      </c>
      <c r="B30" s="72" t="s">
        <v>253</v>
      </c>
      <c r="C30" s="72">
        <v>1</v>
      </c>
    </row>
    <row r="31" spans="1:3" s="73" customFormat="1">
      <c r="A31" s="361" t="s">
        <v>1363</v>
      </c>
      <c r="B31" s="72" t="s">
        <v>1061</v>
      </c>
      <c r="C31" s="72">
        <v>8</v>
      </c>
    </row>
    <row r="32" spans="1:3" s="73" customFormat="1" ht="29.25" thickBot="1">
      <c r="A32" s="361" t="s">
        <v>1364</v>
      </c>
      <c r="B32" s="72" t="s">
        <v>241</v>
      </c>
      <c r="C32" s="72">
        <v>1</v>
      </c>
    </row>
    <row r="33" spans="1:252" ht="15.75" thickBot="1">
      <c r="A33" s="369" t="s">
        <v>104</v>
      </c>
      <c r="B33" s="72"/>
      <c r="C33" s="72">
        <f>SUM(C8:C32)</f>
        <v>56</v>
      </c>
    </row>
    <row r="34" spans="1:252">
      <c r="A34" s="78"/>
      <c r="B34" s="75"/>
      <c r="C34" s="75"/>
    </row>
    <row r="35" spans="1:252" s="179" customFormat="1" ht="40.5" customHeight="1">
      <c r="A35" s="405" t="s">
        <v>1552</v>
      </c>
      <c r="IR35"/>
    </row>
    <row r="36" spans="1:252" s="179" customFormat="1" ht="40.5" customHeight="1">
      <c r="A36" s="703" t="s">
        <v>654</v>
      </c>
      <c r="B36" s="703"/>
      <c r="C36" s="391" t="s">
        <v>1132</v>
      </c>
      <c r="D36" s="221" t="s">
        <v>1134</v>
      </c>
      <c r="IR36"/>
    </row>
    <row r="37" spans="1:252" s="73" customFormat="1">
      <c r="A37" s="700" t="s">
        <v>593</v>
      </c>
      <c r="B37" s="700"/>
      <c r="C37" s="428">
        <v>261.8</v>
      </c>
      <c r="D37" s="193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0"/>
      <c r="EF37" s="230"/>
      <c r="EG37" s="230"/>
      <c r="EH37" s="230"/>
      <c r="EI37" s="230"/>
      <c r="EJ37" s="230"/>
      <c r="EK37" s="230"/>
      <c r="EL37" s="230"/>
      <c r="EM37" s="230"/>
      <c r="EN37" s="230"/>
      <c r="EO37" s="230"/>
      <c r="EP37" s="230"/>
      <c r="EQ37" s="230"/>
      <c r="ER37" s="230"/>
      <c r="ES37" s="230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0"/>
      <c r="FF37" s="230"/>
      <c r="FG37" s="230"/>
      <c r="FH37" s="230"/>
      <c r="FI37" s="230"/>
      <c r="FJ37" s="230"/>
      <c r="FK37" s="230"/>
      <c r="FL37" s="230"/>
      <c r="FM37" s="230"/>
      <c r="FN37" s="230"/>
      <c r="FO37" s="230"/>
      <c r="FP37" s="230"/>
      <c r="FQ37" s="230"/>
      <c r="FR37" s="230"/>
      <c r="FS37" s="230"/>
      <c r="FT37" s="230"/>
      <c r="FU37" s="230"/>
      <c r="FV37" s="230"/>
      <c r="FW37" s="230"/>
      <c r="FX37" s="230"/>
      <c r="FY37" s="230"/>
      <c r="FZ37" s="230"/>
      <c r="GA37" s="230"/>
      <c r="GB37" s="230"/>
      <c r="GC37" s="230"/>
      <c r="GD37" s="230"/>
      <c r="GE37" s="230"/>
      <c r="GF37" s="230"/>
      <c r="GG37" s="230"/>
      <c r="GH37" s="230"/>
      <c r="GI37" s="230"/>
      <c r="GJ37" s="230"/>
      <c r="GK37" s="230"/>
      <c r="GL37" s="230"/>
      <c r="GM37" s="230"/>
      <c r="GN37" s="230"/>
      <c r="GO37" s="230"/>
      <c r="GP37" s="230"/>
      <c r="GQ37" s="230"/>
      <c r="GR37" s="230"/>
      <c r="GS37" s="230"/>
      <c r="GT37" s="230"/>
      <c r="GU37" s="230"/>
      <c r="GV37" s="230"/>
      <c r="GW37" s="230"/>
      <c r="GX37" s="230"/>
      <c r="GY37" s="230"/>
      <c r="GZ37" s="230"/>
      <c r="HA37" s="230"/>
      <c r="HB37" s="230"/>
      <c r="HC37" s="230"/>
      <c r="HD37" s="230"/>
      <c r="HE37" s="230"/>
      <c r="HF37" s="230"/>
      <c r="HG37" s="230"/>
      <c r="HH37" s="230"/>
      <c r="HI37" s="230"/>
      <c r="HJ37" s="230"/>
      <c r="HK37" s="230"/>
      <c r="HL37" s="230"/>
      <c r="HM37" s="230"/>
      <c r="HN37" s="230"/>
      <c r="HO37" s="230"/>
      <c r="HP37" s="230"/>
      <c r="HQ37" s="230"/>
      <c r="HR37" s="230"/>
      <c r="HS37" s="230"/>
      <c r="HT37" s="230"/>
      <c r="HU37" s="230"/>
      <c r="HV37" s="230"/>
      <c r="HW37" s="230"/>
      <c r="HX37" s="230"/>
      <c r="HY37" s="230"/>
      <c r="HZ37" s="230"/>
      <c r="IA37" s="230"/>
      <c r="IB37" s="230"/>
      <c r="IC37" s="230"/>
      <c r="ID37" s="230"/>
      <c r="IE37" s="230"/>
      <c r="IF37" s="230"/>
      <c r="IG37" s="230"/>
      <c r="IH37" s="230"/>
      <c r="II37" s="230"/>
      <c r="IJ37" s="230"/>
      <c r="IK37" s="230"/>
      <c r="IL37" s="230"/>
      <c r="IM37" s="230"/>
      <c r="IN37" s="230"/>
      <c r="IO37" s="230"/>
      <c r="IP37" s="230"/>
      <c r="IQ37" s="230"/>
    </row>
    <row r="38" spans="1:252" s="73" customFormat="1">
      <c r="A38" s="700" t="s">
        <v>594</v>
      </c>
      <c r="B38" s="700"/>
      <c r="C38" s="425">
        <v>14.23</v>
      </c>
      <c r="D38" s="193">
        <f>D49+D50+D51+D52+D54+D55+D57+D60+D53</f>
        <v>10.040000000000001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  <c r="HV38" s="230"/>
      <c r="HW38" s="230"/>
      <c r="HX38" s="230"/>
      <c r="HY38" s="230"/>
      <c r="HZ38" s="230"/>
      <c r="IA38" s="230"/>
      <c r="IB38" s="230"/>
      <c r="IC38" s="230"/>
      <c r="ID38" s="230"/>
      <c r="IE38" s="230"/>
      <c r="IF38" s="230"/>
      <c r="IG38" s="230"/>
      <c r="IH38" s="230"/>
      <c r="II38" s="230"/>
      <c r="IJ38" s="230"/>
      <c r="IK38" s="230"/>
      <c r="IL38" s="230"/>
      <c r="IM38" s="230"/>
      <c r="IN38" s="230"/>
      <c r="IO38" s="230"/>
      <c r="IP38" s="230"/>
      <c r="IQ38" s="230"/>
    </row>
    <row r="39" spans="1:252" s="73" customFormat="1">
      <c r="A39" s="698" t="s">
        <v>711</v>
      </c>
      <c r="B39" s="698"/>
      <c r="C39" s="423">
        <v>1899.95</v>
      </c>
      <c r="D39" s="193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  <c r="HV39" s="230"/>
      <c r="HW39" s="230"/>
      <c r="HX39" s="230"/>
      <c r="HY39" s="230"/>
      <c r="HZ39" s="230"/>
      <c r="IA39" s="230"/>
      <c r="IB39" s="230"/>
      <c r="IC39" s="230"/>
      <c r="ID39" s="230"/>
      <c r="IE39" s="230"/>
      <c r="IF39" s="230"/>
      <c r="IG39" s="230"/>
      <c r="IH39" s="230"/>
      <c r="II39" s="230"/>
      <c r="IJ39" s="230"/>
      <c r="IK39" s="230"/>
      <c r="IL39" s="230"/>
      <c r="IM39" s="230"/>
      <c r="IN39" s="230"/>
      <c r="IO39" s="230"/>
      <c r="IP39" s="230"/>
      <c r="IQ39" s="230"/>
    </row>
    <row r="40" spans="1:252" s="73" customFormat="1">
      <c r="A40" s="698" t="s">
        <v>1123</v>
      </c>
      <c r="B40" s="698"/>
      <c r="C40" s="423">
        <f>C37*C38*12</f>
        <v>44704.968000000001</v>
      </c>
      <c r="D40" s="193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0"/>
      <c r="GN40" s="230"/>
      <c r="GO40" s="230"/>
      <c r="GP40" s="230"/>
      <c r="GQ40" s="230"/>
      <c r="GR40" s="230"/>
      <c r="GS40" s="230"/>
      <c r="GT40" s="230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  <c r="IO40" s="230"/>
      <c r="IP40" s="230"/>
      <c r="IQ40" s="230"/>
    </row>
    <row r="41" spans="1:252" s="73" customFormat="1">
      <c r="A41" s="698" t="s">
        <v>596</v>
      </c>
      <c r="B41" s="698"/>
      <c r="C41" s="423">
        <v>245.52</v>
      </c>
      <c r="D41" s="193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  <c r="IO41" s="230"/>
      <c r="IP41" s="230"/>
      <c r="IQ41" s="230"/>
    </row>
    <row r="42" spans="1:252" s="73" customFormat="1">
      <c r="A42" s="698" t="s">
        <v>1126</v>
      </c>
      <c r="B42" s="698"/>
      <c r="C42" s="423">
        <v>4903.5200000000004</v>
      </c>
      <c r="D42" s="193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0"/>
      <c r="GN42" s="230"/>
      <c r="GO42" s="230"/>
      <c r="GP42" s="230"/>
      <c r="GQ42" s="230"/>
      <c r="GR42" s="230"/>
      <c r="GS42" s="230"/>
      <c r="GT42" s="230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0"/>
      <c r="IB42" s="230"/>
      <c r="IC42" s="230"/>
      <c r="ID42" s="230"/>
      <c r="IE42" s="230"/>
      <c r="IF42" s="230"/>
      <c r="IG42" s="230"/>
      <c r="IH42" s="230"/>
      <c r="II42" s="230"/>
      <c r="IJ42" s="230"/>
      <c r="IK42" s="230"/>
      <c r="IL42" s="230"/>
      <c r="IM42" s="230"/>
      <c r="IN42" s="230"/>
      <c r="IO42" s="230"/>
      <c r="IP42" s="230"/>
      <c r="IQ42" s="230"/>
    </row>
    <row r="43" spans="1:252" s="73" customFormat="1">
      <c r="A43" s="698" t="s">
        <v>798</v>
      </c>
      <c r="B43" s="698"/>
      <c r="C43" s="423">
        <f>C39+C40+C41+C42-C44</f>
        <v>45084.008000000002</v>
      </c>
      <c r="D43" s="193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230"/>
      <c r="FL43" s="230"/>
      <c r="FM43" s="230"/>
      <c r="FN43" s="230"/>
      <c r="FO43" s="230"/>
      <c r="FP43" s="230"/>
      <c r="FQ43" s="230"/>
      <c r="FR43" s="230"/>
      <c r="FS43" s="230"/>
      <c r="FT43" s="230"/>
      <c r="FU43" s="230"/>
      <c r="FV43" s="230"/>
      <c r="FW43" s="230"/>
      <c r="FX43" s="230"/>
      <c r="FY43" s="230"/>
      <c r="FZ43" s="230"/>
      <c r="GA43" s="230"/>
      <c r="GB43" s="230"/>
      <c r="GC43" s="230"/>
      <c r="GD43" s="230"/>
      <c r="GE43" s="230"/>
      <c r="GF43" s="230"/>
      <c r="GG43" s="230"/>
      <c r="GH43" s="230"/>
      <c r="GI43" s="230"/>
      <c r="GJ43" s="230"/>
      <c r="GK43" s="230"/>
      <c r="GL43" s="230"/>
      <c r="GM43" s="230"/>
      <c r="GN43" s="230"/>
      <c r="GO43" s="230"/>
      <c r="GP43" s="230"/>
      <c r="GQ43" s="230"/>
      <c r="GR43" s="230"/>
      <c r="GS43" s="230"/>
      <c r="GT43" s="230"/>
      <c r="GU43" s="230"/>
      <c r="GV43" s="230"/>
      <c r="GW43" s="230"/>
      <c r="GX43" s="230"/>
      <c r="GY43" s="230"/>
      <c r="GZ43" s="230"/>
      <c r="HA43" s="230"/>
      <c r="HB43" s="230"/>
      <c r="HC43" s="230"/>
      <c r="HD43" s="230"/>
      <c r="HE43" s="230"/>
      <c r="HF43" s="230"/>
      <c r="HG43" s="230"/>
      <c r="HH43" s="230"/>
      <c r="HI43" s="230"/>
      <c r="HJ43" s="230"/>
      <c r="HK43" s="230"/>
      <c r="HL43" s="230"/>
      <c r="HM43" s="230"/>
      <c r="HN43" s="230"/>
      <c r="HO43" s="230"/>
      <c r="HP43" s="230"/>
      <c r="HQ43" s="230"/>
      <c r="HR43" s="230"/>
      <c r="HS43" s="230"/>
      <c r="HT43" s="230"/>
      <c r="HU43" s="230"/>
      <c r="HV43" s="230"/>
      <c r="HW43" s="230"/>
      <c r="HX43" s="230"/>
      <c r="HY43" s="230"/>
      <c r="HZ43" s="230"/>
      <c r="IA43" s="230"/>
      <c r="IB43" s="230"/>
      <c r="IC43" s="230"/>
      <c r="ID43" s="230"/>
      <c r="IE43" s="230"/>
      <c r="IF43" s="230"/>
      <c r="IG43" s="230"/>
      <c r="IH43" s="230"/>
      <c r="II43" s="230"/>
      <c r="IJ43" s="230"/>
      <c r="IK43" s="230"/>
      <c r="IL43" s="230"/>
      <c r="IM43" s="230"/>
      <c r="IN43" s="230"/>
      <c r="IO43" s="230"/>
      <c r="IP43" s="230"/>
      <c r="IQ43" s="230"/>
    </row>
    <row r="44" spans="1:252" s="73" customFormat="1">
      <c r="A44" s="698" t="s">
        <v>1124</v>
      </c>
      <c r="B44" s="698"/>
      <c r="C44" s="423">
        <v>6669.95</v>
      </c>
      <c r="D44" s="193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0"/>
      <c r="GF44" s="230"/>
      <c r="GG44" s="230"/>
      <c r="GH44" s="230"/>
      <c r="GI44" s="230"/>
      <c r="GJ44" s="230"/>
      <c r="GK44" s="230"/>
      <c r="GL44" s="230"/>
      <c r="GM44" s="230"/>
      <c r="GN44" s="230"/>
      <c r="GO44" s="230"/>
      <c r="GP44" s="230"/>
      <c r="GQ44" s="230"/>
      <c r="GR44" s="230"/>
      <c r="GS44" s="230"/>
      <c r="GT44" s="230"/>
      <c r="GU44" s="230"/>
      <c r="GV44" s="230"/>
      <c r="GW44" s="230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0"/>
      <c r="HQ44" s="230"/>
      <c r="HR44" s="230"/>
      <c r="HS44" s="230"/>
      <c r="HT44" s="230"/>
      <c r="HU44" s="230"/>
      <c r="HV44" s="230"/>
      <c r="HW44" s="230"/>
      <c r="HX44" s="230"/>
      <c r="HY44" s="230"/>
      <c r="HZ44" s="230"/>
      <c r="IA44" s="230"/>
      <c r="IB44" s="230"/>
      <c r="IC44" s="230"/>
      <c r="ID44" s="230"/>
      <c r="IE44" s="230"/>
      <c r="IF44" s="230"/>
      <c r="IG44" s="230"/>
      <c r="IH44" s="230"/>
      <c r="II44" s="230"/>
      <c r="IJ44" s="230"/>
      <c r="IK44" s="230"/>
      <c r="IL44" s="230"/>
      <c r="IM44" s="230"/>
      <c r="IN44" s="230"/>
      <c r="IO44" s="230"/>
      <c r="IP44" s="230"/>
      <c r="IQ44" s="230"/>
    </row>
    <row r="45" spans="1:252" s="73" customFormat="1" ht="16.5" customHeight="1">
      <c r="A45" s="699" t="s">
        <v>1553</v>
      </c>
      <c r="B45" s="699"/>
      <c r="C45" s="425">
        <f>C43</f>
        <v>45084.008000000002</v>
      </c>
      <c r="D45" s="193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230"/>
      <c r="GM45" s="230"/>
      <c r="GN45" s="230"/>
      <c r="GO45" s="230"/>
      <c r="GP45" s="230"/>
      <c r="GQ45" s="230"/>
      <c r="GR45" s="230"/>
      <c r="GS45" s="230"/>
      <c r="GT45" s="230"/>
      <c r="GU45" s="230"/>
      <c r="GV45" s="230"/>
      <c r="GW45" s="230"/>
      <c r="GX45" s="230"/>
      <c r="GY45" s="230"/>
      <c r="GZ45" s="230"/>
      <c r="HA45" s="230"/>
      <c r="HB45" s="230"/>
      <c r="HC45" s="230"/>
      <c r="HD45" s="230"/>
      <c r="HE45" s="230"/>
      <c r="HF45" s="230"/>
      <c r="HG45" s="230"/>
      <c r="HH45" s="230"/>
      <c r="HI45" s="230"/>
      <c r="HJ45" s="230"/>
      <c r="HK45" s="230"/>
      <c r="HL45" s="230"/>
      <c r="HM45" s="230"/>
      <c r="HN45" s="230"/>
      <c r="HO45" s="230"/>
      <c r="HP45" s="230"/>
      <c r="HQ45" s="230"/>
      <c r="HR45" s="230"/>
      <c r="HS45" s="230"/>
      <c r="HT45" s="230"/>
      <c r="HU45" s="230"/>
      <c r="HV45" s="230"/>
      <c r="HW45" s="230"/>
      <c r="HX45" s="230"/>
      <c r="HY45" s="230"/>
      <c r="HZ45" s="230"/>
      <c r="IA45" s="230"/>
      <c r="IB45" s="230"/>
      <c r="IC45" s="230"/>
      <c r="ID45" s="230"/>
      <c r="IE45" s="230"/>
      <c r="IF45" s="230"/>
      <c r="IG45" s="230"/>
      <c r="IH45" s="230"/>
      <c r="II45" s="230"/>
      <c r="IJ45" s="230"/>
      <c r="IK45" s="230"/>
      <c r="IL45" s="230"/>
      <c r="IM45" s="230"/>
      <c r="IN45" s="230"/>
      <c r="IO45" s="230"/>
      <c r="IP45" s="230"/>
      <c r="IQ45" s="230"/>
    </row>
    <row r="46" spans="1:252" s="73" customFormat="1">
      <c r="A46" s="698"/>
      <c r="B46" s="698"/>
      <c r="C46" s="230"/>
      <c r="D46" s="193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  <c r="IQ46" s="230"/>
    </row>
    <row r="47" spans="1:252" s="73" customFormat="1">
      <c r="A47" s="700" t="s">
        <v>1130</v>
      </c>
      <c r="B47" s="700"/>
      <c r="C47" s="436">
        <f>C49+C50+C51+C54+C55+C57+C60+C58+C59+C52+C53</f>
        <v>37004.134353473448</v>
      </c>
      <c r="D47" s="193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  <c r="FS47" s="230"/>
      <c r="FT47" s="230"/>
      <c r="FU47" s="230"/>
      <c r="FV47" s="230"/>
      <c r="FW47" s="230"/>
      <c r="FX47" s="230"/>
      <c r="FY47" s="230"/>
      <c r="FZ47" s="230"/>
      <c r="GA47" s="230"/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  <c r="GM47" s="230"/>
      <c r="GN47" s="230"/>
      <c r="GO47" s="230"/>
      <c r="GP47" s="230"/>
      <c r="GQ47" s="230"/>
      <c r="GR47" s="230"/>
      <c r="GS47" s="230"/>
      <c r="GT47" s="230"/>
      <c r="GU47" s="230"/>
      <c r="GV47" s="230"/>
      <c r="GW47" s="230"/>
      <c r="GX47" s="230"/>
      <c r="GY47" s="230"/>
      <c r="GZ47" s="230"/>
      <c r="HA47" s="230"/>
      <c r="HB47" s="230"/>
      <c r="HC47" s="230"/>
      <c r="HD47" s="230"/>
      <c r="HE47" s="230"/>
      <c r="HF47" s="230"/>
      <c r="HG47" s="230"/>
      <c r="HH47" s="230"/>
      <c r="HI47" s="230"/>
      <c r="HJ47" s="230"/>
      <c r="HK47" s="230"/>
      <c r="HL47" s="230"/>
      <c r="HM47" s="230"/>
      <c r="HN47" s="230"/>
      <c r="HO47" s="230"/>
      <c r="HP47" s="230"/>
      <c r="HQ47" s="230"/>
      <c r="HR47" s="230"/>
      <c r="HS47" s="230"/>
      <c r="HT47" s="230"/>
      <c r="HU47" s="230"/>
      <c r="HV47" s="230"/>
      <c r="HW47" s="230"/>
      <c r="HX47" s="230"/>
      <c r="HY47" s="230"/>
      <c r="HZ47" s="230"/>
      <c r="IA47" s="230"/>
      <c r="IB47" s="230"/>
      <c r="IC47" s="230"/>
      <c r="ID47" s="230"/>
      <c r="IE47" s="230"/>
      <c r="IF47" s="230"/>
      <c r="IG47" s="230"/>
      <c r="IH47" s="230"/>
      <c r="II47" s="230"/>
      <c r="IJ47" s="230"/>
      <c r="IK47" s="230"/>
      <c r="IL47" s="230"/>
      <c r="IM47" s="230"/>
      <c r="IN47" s="230"/>
      <c r="IO47" s="230"/>
      <c r="IP47" s="230"/>
      <c r="IQ47" s="230"/>
    </row>
    <row r="48" spans="1:252" s="73" customFormat="1">
      <c r="A48" s="698" t="s">
        <v>599</v>
      </c>
      <c r="B48" s="698"/>
      <c r="C48" s="423"/>
      <c r="D48" s="193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0"/>
      <c r="FF48" s="230"/>
      <c r="FG48" s="230"/>
      <c r="FH48" s="230"/>
      <c r="FI48" s="230"/>
      <c r="FJ48" s="230"/>
      <c r="FK48" s="230"/>
      <c r="FL48" s="230"/>
      <c r="FM48" s="230"/>
      <c r="FN48" s="230"/>
      <c r="FO48" s="230"/>
      <c r="FP48" s="230"/>
      <c r="FQ48" s="230"/>
      <c r="FR48" s="230"/>
      <c r="FS48" s="230"/>
      <c r="FT48" s="230"/>
      <c r="FU48" s="230"/>
      <c r="FV48" s="230"/>
      <c r="FW48" s="230"/>
      <c r="FX48" s="230"/>
      <c r="FY48" s="230"/>
      <c r="FZ48" s="230"/>
      <c r="GA48" s="230"/>
      <c r="GB48" s="230"/>
      <c r="GC48" s="230"/>
      <c r="GD48" s="230"/>
      <c r="GE48" s="230"/>
      <c r="GF48" s="230"/>
      <c r="GG48" s="230"/>
      <c r="GH48" s="230"/>
      <c r="GI48" s="230"/>
      <c r="GJ48" s="230"/>
      <c r="GK48" s="230"/>
      <c r="GL48" s="230"/>
      <c r="GM48" s="230"/>
      <c r="GN48" s="230"/>
      <c r="GO48" s="230"/>
      <c r="GP48" s="230"/>
      <c r="GQ48" s="230"/>
      <c r="GR48" s="230"/>
      <c r="GS48" s="230"/>
      <c r="GT48" s="230"/>
      <c r="GU48" s="230"/>
      <c r="GV48" s="230"/>
      <c r="GW48" s="230"/>
      <c r="GX48" s="230"/>
      <c r="GY48" s="230"/>
      <c r="GZ48" s="230"/>
      <c r="HA48" s="230"/>
      <c r="HB48" s="230"/>
      <c r="HC48" s="230"/>
      <c r="HD48" s="230"/>
      <c r="HE48" s="230"/>
      <c r="HF48" s="230"/>
      <c r="HG48" s="230"/>
      <c r="HH48" s="230"/>
      <c r="HI48" s="230"/>
      <c r="HJ48" s="230"/>
      <c r="HK48" s="230"/>
      <c r="HL48" s="230"/>
      <c r="HM48" s="230"/>
      <c r="HN48" s="230"/>
      <c r="HO48" s="230"/>
      <c r="HP48" s="230"/>
      <c r="HQ48" s="230"/>
      <c r="HR48" s="230"/>
      <c r="HS48" s="230"/>
      <c r="HT48" s="230"/>
      <c r="HU48" s="230"/>
      <c r="HV48" s="230"/>
      <c r="HW48" s="230"/>
      <c r="HX48" s="230"/>
      <c r="HY48" s="230"/>
      <c r="HZ48" s="230"/>
      <c r="IA48" s="230"/>
      <c r="IB48" s="230"/>
      <c r="IC48" s="230"/>
      <c r="ID48" s="230"/>
      <c r="IE48" s="230"/>
      <c r="IF48" s="230"/>
      <c r="IG48" s="230"/>
      <c r="IH48" s="230"/>
      <c r="II48" s="230"/>
      <c r="IJ48" s="230"/>
      <c r="IK48" s="230"/>
      <c r="IL48" s="230"/>
      <c r="IM48" s="230"/>
      <c r="IN48" s="230"/>
      <c r="IO48" s="230"/>
      <c r="IP48" s="230"/>
      <c r="IQ48" s="230"/>
    </row>
    <row r="49" spans="1:251" s="73" customFormat="1">
      <c r="A49" s="698" t="s">
        <v>521</v>
      </c>
      <c r="B49" s="698"/>
      <c r="C49" s="421">
        <f>959300/45797.5*C37*1.48</f>
        <v>8116.0372334734429</v>
      </c>
      <c r="D49" s="193">
        <f>ROUND(C49/C37/12,2)</f>
        <v>2.58</v>
      </c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230"/>
      <c r="FG49" s="230"/>
      <c r="FH49" s="230"/>
      <c r="FI49" s="230"/>
      <c r="FJ49" s="230"/>
      <c r="FK49" s="230"/>
      <c r="FL49" s="230"/>
      <c r="FM49" s="230"/>
      <c r="FN49" s="230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0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  <c r="GM49" s="230"/>
      <c r="GN49" s="230"/>
      <c r="GO49" s="230"/>
      <c r="GP49" s="230"/>
      <c r="GQ49" s="230"/>
      <c r="GR49" s="230"/>
      <c r="GS49" s="230"/>
      <c r="GT49" s="230"/>
      <c r="GU49" s="230"/>
      <c r="GV49" s="230"/>
      <c r="GW49" s="230"/>
      <c r="GX49" s="230"/>
      <c r="GY49" s="230"/>
      <c r="GZ49" s="230"/>
      <c r="HA49" s="230"/>
      <c r="HB49" s="230"/>
      <c r="HC49" s="230"/>
      <c r="HD49" s="230"/>
      <c r="HE49" s="230"/>
      <c r="HF49" s="230"/>
      <c r="HG49" s="230"/>
      <c r="HH49" s="230"/>
      <c r="HI49" s="230"/>
      <c r="HJ49" s="230"/>
      <c r="HK49" s="230"/>
      <c r="HL49" s="230"/>
      <c r="HM49" s="230"/>
      <c r="HN49" s="230"/>
      <c r="HO49" s="230"/>
      <c r="HP49" s="230"/>
      <c r="HQ49" s="230"/>
      <c r="HR49" s="230"/>
      <c r="HS49" s="230"/>
      <c r="HT49" s="230"/>
      <c r="HU49" s="230"/>
      <c r="HV49" s="230"/>
      <c r="HW49" s="230"/>
      <c r="HX49" s="230"/>
      <c r="HY49" s="230"/>
      <c r="HZ49" s="230"/>
      <c r="IA49" s="230"/>
      <c r="IB49" s="230"/>
      <c r="IC49" s="230"/>
      <c r="ID49" s="230"/>
      <c r="IE49" s="230"/>
      <c r="IF49" s="230"/>
      <c r="IG49" s="230"/>
      <c r="IH49" s="230"/>
      <c r="II49" s="230"/>
      <c r="IJ49" s="230"/>
      <c r="IK49" s="230"/>
      <c r="IL49" s="230"/>
      <c r="IM49" s="230"/>
      <c r="IN49" s="230"/>
      <c r="IO49" s="230"/>
      <c r="IP49" s="230"/>
      <c r="IQ49" s="230"/>
    </row>
    <row r="50" spans="1:251" s="73" customFormat="1">
      <c r="A50" s="698" t="s">
        <v>520</v>
      </c>
      <c r="B50" s="698"/>
      <c r="C50" s="421">
        <f>0.89*C37*12*1.48</f>
        <v>4138.1155200000003</v>
      </c>
      <c r="D50" s="193">
        <f>ROUND(C50/C37/12,2)</f>
        <v>1.32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230"/>
      <c r="FG50" s="230"/>
      <c r="FH50" s="230"/>
      <c r="FI50" s="230"/>
      <c r="FJ50" s="230"/>
      <c r="FK50" s="230"/>
      <c r="FL50" s="230"/>
      <c r="FM50" s="230"/>
      <c r="FN50" s="230"/>
      <c r="FO50" s="230"/>
      <c r="FP50" s="230"/>
      <c r="FQ50" s="230"/>
      <c r="FR50" s="230"/>
      <c r="FS50" s="230"/>
      <c r="FT50" s="230"/>
      <c r="FU50" s="230"/>
      <c r="FV50" s="230"/>
      <c r="FW50" s="230"/>
      <c r="FX50" s="230"/>
      <c r="FY50" s="230"/>
      <c r="FZ50" s="230"/>
      <c r="GA50" s="230"/>
      <c r="GB50" s="230"/>
      <c r="GC50" s="230"/>
      <c r="GD50" s="230"/>
      <c r="GE50" s="230"/>
      <c r="GF50" s="230"/>
      <c r="GG50" s="230"/>
      <c r="GH50" s="230"/>
      <c r="GI50" s="230"/>
      <c r="GJ50" s="230"/>
      <c r="GK50" s="230"/>
      <c r="GL50" s="230"/>
      <c r="GM50" s="230"/>
      <c r="GN50" s="230"/>
      <c r="GO50" s="230"/>
      <c r="GP50" s="230"/>
      <c r="GQ50" s="230"/>
      <c r="GR50" s="230"/>
      <c r="GS50" s="230"/>
      <c r="GT50" s="230"/>
      <c r="GU50" s="230"/>
      <c r="GV50" s="230"/>
      <c r="GW50" s="230"/>
      <c r="GX50" s="230"/>
      <c r="GY50" s="230"/>
      <c r="GZ50" s="230"/>
      <c r="HA50" s="230"/>
      <c r="HB50" s="230"/>
      <c r="HC50" s="230"/>
      <c r="HD50" s="230"/>
      <c r="HE50" s="230"/>
      <c r="HF50" s="230"/>
      <c r="HG50" s="230"/>
      <c r="HH50" s="230"/>
      <c r="HI50" s="230"/>
      <c r="HJ50" s="230"/>
      <c r="HK50" s="230"/>
      <c r="HL50" s="230"/>
      <c r="HM50" s="230"/>
      <c r="HN50" s="230"/>
      <c r="HO50" s="230"/>
      <c r="HP50" s="230"/>
      <c r="HQ50" s="230"/>
      <c r="HR50" s="230"/>
      <c r="HS50" s="230"/>
      <c r="HT50" s="230"/>
      <c r="HU50" s="230"/>
      <c r="HV50" s="230"/>
      <c r="HW50" s="230"/>
      <c r="HX50" s="230"/>
      <c r="HY50" s="230"/>
      <c r="HZ50" s="230"/>
      <c r="IA50" s="230"/>
      <c r="IB50" s="230"/>
      <c r="IC50" s="230"/>
      <c r="ID50" s="230"/>
      <c r="IE50" s="230"/>
      <c r="IF50" s="230"/>
      <c r="IG50" s="230"/>
      <c r="IH50" s="230"/>
      <c r="II50" s="230"/>
      <c r="IJ50" s="230"/>
      <c r="IK50" s="230"/>
      <c r="IL50" s="230"/>
      <c r="IM50" s="230"/>
      <c r="IN50" s="230"/>
      <c r="IO50" s="230"/>
      <c r="IP50" s="230"/>
      <c r="IQ50" s="230"/>
    </row>
    <row r="51" spans="1:251" s="73" customFormat="1">
      <c r="A51" s="698" t="s">
        <v>987</v>
      </c>
      <c r="B51" s="698"/>
      <c r="C51" s="421">
        <f>0.31*C37*12*1.48</f>
        <v>1441.36608</v>
      </c>
      <c r="D51" s="193">
        <f>ROUND(C51/C37/12,2)</f>
        <v>0.46</v>
      </c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230"/>
      <c r="FG51" s="230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0"/>
      <c r="GE51" s="230"/>
      <c r="GF51" s="230"/>
      <c r="GG51" s="230"/>
      <c r="GH51" s="230"/>
      <c r="GI51" s="230"/>
      <c r="GJ51" s="230"/>
      <c r="GK51" s="230"/>
      <c r="GL51" s="230"/>
      <c r="GM51" s="230"/>
      <c r="GN51" s="230"/>
      <c r="GO51" s="230"/>
      <c r="GP51" s="230"/>
      <c r="GQ51" s="230"/>
      <c r="GR51" s="230"/>
      <c r="GS51" s="230"/>
      <c r="GT51" s="230"/>
      <c r="GU51" s="230"/>
      <c r="GV51" s="230"/>
      <c r="GW51" s="230"/>
      <c r="GX51" s="230"/>
      <c r="GY51" s="230"/>
      <c r="GZ51" s="230"/>
      <c r="HA51" s="230"/>
      <c r="HB51" s="230"/>
      <c r="HC51" s="230"/>
      <c r="HD51" s="230"/>
      <c r="HE51" s="230"/>
      <c r="HF51" s="230"/>
      <c r="HG51" s="230"/>
      <c r="HH51" s="230"/>
      <c r="HI51" s="230"/>
      <c r="HJ51" s="230"/>
      <c r="HK51" s="230"/>
      <c r="HL51" s="230"/>
      <c r="HM51" s="230"/>
      <c r="HN51" s="230"/>
      <c r="HO51" s="230"/>
      <c r="HP51" s="230"/>
      <c r="HQ51" s="230"/>
      <c r="HR51" s="230"/>
      <c r="HS51" s="230"/>
      <c r="HT51" s="230"/>
      <c r="HU51" s="230"/>
      <c r="HV51" s="230"/>
      <c r="HW51" s="230"/>
      <c r="HX51" s="230"/>
      <c r="HY51" s="230"/>
      <c r="HZ51" s="230"/>
      <c r="IA51" s="230"/>
      <c r="IB51" s="230"/>
      <c r="IC51" s="230"/>
      <c r="ID51" s="230"/>
      <c r="IE51" s="230"/>
      <c r="IF51" s="230"/>
      <c r="IG51" s="230"/>
      <c r="IH51" s="230"/>
      <c r="II51" s="230"/>
      <c r="IJ51" s="230"/>
      <c r="IK51" s="230"/>
      <c r="IL51" s="230"/>
      <c r="IM51" s="230"/>
      <c r="IN51" s="230"/>
      <c r="IO51" s="230"/>
      <c r="IP51" s="230"/>
      <c r="IQ51" s="230"/>
    </row>
    <row r="52" spans="1:251" s="73" customFormat="1">
      <c r="A52" s="698" t="s">
        <v>908</v>
      </c>
      <c r="B52" s="698"/>
      <c r="C52" s="421">
        <v>0</v>
      </c>
      <c r="D52" s="193">
        <f>ROUND(C52/C37/12,2)</f>
        <v>0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230"/>
      <c r="FG52" s="230"/>
      <c r="FH52" s="230"/>
      <c r="FI52" s="230"/>
      <c r="FJ52" s="230"/>
      <c r="FK52" s="230"/>
      <c r="FL52" s="230"/>
      <c r="FM52" s="230"/>
      <c r="FN52" s="230"/>
      <c r="FO52" s="230"/>
      <c r="FP52" s="230"/>
      <c r="FQ52" s="230"/>
      <c r="FR52" s="230"/>
      <c r="FS52" s="230"/>
      <c r="FT52" s="230"/>
      <c r="FU52" s="230"/>
      <c r="FV52" s="230"/>
      <c r="FW52" s="230"/>
      <c r="FX52" s="230"/>
      <c r="FY52" s="230"/>
      <c r="FZ52" s="230"/>
      <c r="GA52" s="230"/>
      <c r="GB52" s="230"/>
      <c r="GC52" s="230"/>
      <c r="GD52" s="230"/>
      <c r="GE52" s="230"/>
      <c r="GF52" s="230"/>
      <c r="GG52" s="230"/>
      <c r="GH52" s="230"/>
      <c r="GI52" s="230"/>
      <c r="GJ52" s="230"/>
      <c r="GK52" s="230"/>
      <c r="GL52" s="230"/>
      <c r="GM52" s="230"/>
      <c r="GN52" s="230"/>
      <c r="GO52" s="230"/>
      <c r="GP52" s="230"/>
      <c r="GQ52" s="230"/>
      <c r="GR52" s="230"/>
      <c r="GS52" s="230"/>
      <c r="GT52" s="230"/>
      <c r="GU52" s="230"/>
      <c r="GV52" s="230"/>
      <c r="GW52" s="230"/>
      <c r="GX52" s="230"/>
      <c r="GY52" s="230"/>
      <c r="GZ52" s="230"/>
      <c r="HA52" s="230"/>
      <c r="HB52" s="230"/>
      <c r="HC52" s="230"/>
      <c r="HD52" s="230"/>
      <c r="HE52" s="230"/>
      <c r="HF52" s="230"/>
      <c r="HG52" s="230"/>
      <c r="HH52" s="230"/>
      <c r="HI52" s="230"/>
      <c r="HJ52" s="230"/>
      <c r="HK52" s="230"/>
      <c r="HL52" s="230"/>
      <c r="HM52" s="230"/>
      <c r="HN52" s="230"/>
      <c r="HO52" s="230"/>
      <c r="HP52" s="230"/>
      <c r="HQ52" s="230"/>
      <c r="HR52" s="230"/>
      <c r="HS52" s="230"/>
      <c r="HT52" s="230"/>
      <c r="HU52" s="230"/>
      <c r="HV52" s="230"/>
      <c r="HW52" s="230"/>
      <c r="HX52" s="230"/>
      <c r="HY52" s="230"/>
      <c r="HZ52" s="230"/>
      <c r="IA52" s="230"/>
      <c r="IB52" s="230"/>
      <c r="IC52" s="230"/>
      <c r="ID52" s="230"/>
      <c r="IE52" s="230"/>
      <c r="IF52" s="230"/>
      <c r="IG52" s="230"/>
      <c r="IH52" s="230"/>
      <c r="II52" s="230"/>
      <c r="IJ52" s="230"/>
      <c r="IK52" s="230"/>
      <c r="IL52" s="230"/>
      <c r="IM52" s="230"/>
      <c r="IN52" s="230"/>
      <c r="IO52" s="230"/>
      <c r="IP52" s="230"/>
      <c r="IQ52" s="230"/>
    </row>
    <row r="53" spans="1:251" s="73" customFormat="1">
      <c r="A53" s="698" t="s">
        <v>1135</v>
      </c>
      <c r="B53" s="698"/>
      <c r="C53" s="421">
        <v>0</v>
      </c>
      <c r="D53" s="193">
        <f>ROUND(C53/C37/12,2)</f>
        <v>0</v>
      </c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230"/>
      <c r="FJ53" s="230"/>
      <c r="FK53" s="230"/>
      <c r="FL53" s="230"/>
      <c r="FM53" s="230"/>
      <c r="FN53" s="230"/>
      <c r="FO53" s="230"/>
      <c r="FP53" s="230"/>
      <c r="FQ53" s="230"/>
      <c r="FR53" s="230"/>
      <c r="FS53" s="230"/>
      <c r="FT53" s="230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  <c r="GJ53" s="230"/>
      <c r="GK53" s="230"/>
      <c r="GL53" s="230"/>
      <c r="GM53" s="230"/>
      <c r="GN53" s="230"/>
      <c r="GO53" s="230"/>
      <c r="GP53" s="230"/>
      <c r="GQ53" s="230"/>
      <c r="GR53" s="230"/>
      <c r="GS53" s="230"/>
      <c r="GT53" s="230"/>
      <c r="GU53" s="230"/>
      <c r="GV53" s="230"/>
      <c r="GW53" s="230"/>
      <c r="GX53" s="230"/>
      <c r="GY53" s="230"/>
      <c r="GZ53" s="230"/>
      <c r="HA53" s="230"/>
      <c r="HB53" s="230"/>
      <c r="HC53" s="230"/>
      <c r="HD53" s="230"/>
      <c r="HE53" s="230"/>
      <c r="HF53" s="230"/>
      <c r="HG53" s="230"/>
      <c r="HH53" s="230"/>
      <c r="HI53" s="230"/>
      <c r="HJ53" s="230"/>
      <c r="HK53" s="230"/>
      <c r="HL53" s="230"/>
      <c r="HM53" s="230"/>
      <c r="HN53" s="230"/>
      <c r="HO53" s="230"/>
      <c r="HP53" s="230"/>
      <c r="HQ53" s="230"/>
      <c r="HR53" s="230"/>
      <c r="HS53" s="230"/>
      <c r="HT53" s="230"/>
      <c r="HU53" s="230"/>
      <c r="HV53" s="230"/>
      <c r="HW53" s="230"/>
      <c r="HX53" s="230"/>
      <c r="HY53" s="230"/>
      <c r="HZ53" s="230"/>
      <c r="IA53" s="230"/>
      <c r="IB53" s="230"/>
      <c r="IC53" s="230"/>
      <c r="ID53" s="230"/>
      <c r="IE53" s="230"/>
      <c r="IF53" s="230"/>
      <c r="IG53" s="230"/>
      <c r="IH53" s="230"/>
      <c r="II53" s="230"/>
      <c r="IJ53" s="230"/>
      <c r="IK53" s="230"/>
      <c r="IL53" s="230"/>
      <c r="IM53" s="230"/>
      <c r="IN53" s="230"/>
      <c r="IO53" s="230"/>
      <c r="IP53" s="230"/>
      <c r="IQ53" s="230"/>
    </row>
    <row r="54" spans="1:251" s="73" customFormat="1">
      <c r="A54" s="698" t="s">
        <v>600</v>
      </c>
      <c r="B54" s="698"/>
      <c r="C54" s="421">
        <f>20*70*1.48</f>
        <v>2072</v>
      </c>
      <c r="D54" s="193">
        <f>ROUND(C54/C37/12,2)</f>
        <v>0.66</v>
      </c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  <c r="FH54" s="230"/>
      <c r="FI54" s="230"/>
      <c r="FJ54" s="230"/>
      <c r="FK54" s="230"/>
      <c r="FL54" s="230"/>
      <c r="FM54" s="230"/>
      <c r="FN54" s="230"/>
      <c r="FO54" s="230"/>
      <c r="FP54" s="230"/>
      <c r="FQ54" s="230"/>
      <c r="FR54" s="230"/>
      <c r="FS54" s="230"/>
      <c r="FT54" s="230"/>
      <c r="FU54" s="230"/>
      <c r="FV54" s="230"/>
      <c r="FW54" s="230"/>
      <c r="FX54" s="230"/>
      <c r="FY54" s="230"/>
      <c r="FZ54" s="230"/>
      <c r="GA54" s="230"/>
      <c r="GB54" s="230"/>
      <c r="GC54" s="230"/>
      <c r="GD54" s="230"/>
      <c r="GE54" s="230"/>
      <c r="GF54" s="230"/>
      <c r="GG54" s="230"/>
      <c r="GH54" s="230"/>
      <c r="GI54" s="230"/>
      <c r="GJ54" s="230"/>
      <c r="GK54" s="230"/>
      <c r="GL54" s="230"/>
      <c r="GM54" s="230"/>
      <c r="GN54" s="230"/>
      <c r="GO54" s="230"/>
      <c r="GP54" s="230"/>
      <c r="GQ54" s="230"/>
      <c r="GR54" s="230"/>
      <c r="GS54" s="230"/>
      <c r="GT54" s="230"/>
      <c r="GU54" s="230"/>
      <c r="GV54" s="230"/>
      <c r="GW54" s="230"/>
      <c r="GX54" s="230"/>
      <c r="GY54" s="230"/>
      <c r="GZ54" s="230"/>
      <c r="HA54" s="230"/>
      <c r="HB54" s="230"/>
      <c r="HC54" s="230"/>
      <c r="HD54" s="230"/>
      <c r="HE54" s="230"/>
      <c r="HF54" s="230"/>
      <c r="HG54" s="230"/>
      <c r="HH54" s="230"/>
      <c r="HI54" s="230"/>
      <c r="HJ54" s="230"/>
      <c r="HK54" s="230"/>
      <c r="HL54" s="230"/>
      <c r="HM54" s="230"/>
      <c r="HN54" s="230"/>
      <c r="HO54" s="230"/>
      <c r="HP54" s="230"/>
      <c r="HQ54" s="230"/>
      <c r="HR54" s="230"/>
      <c r="HS54" s="230"/>
      <c r="HT54" s="230"/>
      <c r="HU54" s="230"/>
      <c r="HV54" s="230"/>
      <c r="HW54" s="230"/>
      <c r="HX54" s="230"/>
      <c r="HY54" s="230"/>
      <c r="HZ54" s="230"/>
      <c r="IA54" s="230"/>
      <c r="IB54" s="230"/>
      <c r="IC54" s="230"/>
      <c r="ID54" s="230"/>
      <c r="IE54" s="230"/>
      <c r="IF54" s="230"/>
      <c r="IG54" s="230"/>
      <c r="IH54" s="230"/>
      <c r="II54" s="230"/>
      <c r="IJ54" s="230"/>
      <c r="IK54" s="230"/>
      <c r="IL54" s="230"/>
      <c r="IM54" s="230"/>
      <c r="IN54" s="230"/>
      <c r="IO54" s="230"/>
      <c r="IP54" s="230"/>
      <c r="IQ54" s="230"/>
    </row>
    <row r="55" spans="1:251" s="73" customFormat="1">
      <c r="A55" s="698" t="s">
        <v>611</v>
      </c>
      <c r="B55" s="698"/>
      <c r="C55" s="421">
        <f>0.01*9100*12*1.302*1.48</f>
        <v>2104.2403200000003</v>
      </c>
      <c r="D55" s="193">
        <f>ROUND(C55/C37/12,2)</f>
        <v>0.67</v>
      </c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0"/>
      <c r="FF55" s="230"/>
      <c r="FG55" s="230"/>
      <c r="FH55" s="230"/>
      <c r="FI55" s="230"/>
      <c r="FJ55" s="230"/>
      <c r="FK55" s="230"/>
      <c r="FL55" s="230"/>
      <c r="FM55" s="230"/>
      <c r="FN55" s="230"/>
      <c r="FO55" s="230"/>
      <c r="FP55" s="230"/>
      <c r="FQ55" s="230"/>
      <c r="FR55" s="230"/>
      <c r="FS55" s="230"/>
      <c r="FT55" s="230"/>
      <c r="FU55" s="230"/>
      <c r="FV55" s="230"/>
      <c r="FW55" s="230"/>
      <c r="FX55" s="230"/>
      <c r="FY55" s="230"/>
      <c r="FZ55" s="230"/>
      <c r="GA55" s="230"/>
      <c r="GB55" s="230"/>
      <c r="GC55" s="230"/>
      <c r="GD55" s="230"/>
      <c r="GE55" s="230"/>
      <c r="GF55" s="230"/>
      <c r="GG55" s="230"/>
      <c r="GH55" s="230"/>
      <c r="GI55" s="230"/>
      <c r="GJ55" s="230"/>
      <c r="GK55" s="230"/>
      <c r="GL55" s="230"/>
      <c r="GM55" s="230"/>
      <c r="GN55" s="230"/>
      <c r="GO55" s="230"/>
      <c r="GP55" s="230"/>
      <c r="GQ55" s="230"/>
      <c r="GR55" s="230"/>
      <c r="GS55" s="230"/>
      <c r="GT55" s="230"/>
      <c r="GU55" s="230"/>
      <c r="GV55" s="230"/>
      <c r="GW55" s="230"/>
      <c r="GX55" s="230"/>
      <c r="GY55" s="230"/>
      <c r="GZ55" s="230"/>
      <c r="HA55" s="230"/>
      <c r="HB55" s="230"/>
      <c r="HC55" s="230"/>
      <c r="HD55" s="230"/>
      <c r="HE55" s="230"/>
      <c r="HF55" s="230"/>
      <c r="HG55" s="230"/>
      <c r="HH55" s="230"/>
      <c r="HI55" s="230"/>
      <c r="HJ55" s="230"/>
      <c r="HK55" s="230"/>
      <c r="HL55" s="230"/>
      <c r="HM55" s="230"/>
      <c r="HN55" s="230"/>
      <c r="HO55" s="230"/>
      <c r="HP55" s="230"/>
      <c r="HQ55" s="230"/>
      <c r="HR55" s="230"/>
      <c r="HS55" s="230"/>
      <c r="HT55" s="230"/>
      <c r="HU55" s="230"/>
      <c r="HV55" s="230"/>
      <c r="HW55" s="230"/>
      <c r="HX55" s="230"/>
      <c r="HY55" s="230"/>
      <c r="HZ55" s="230"/>
      <c r="IA55" s="230"/>
      <c r="IB55" s="230"/>
      <c r="IC55" s="230"/>
      <c r="ID55" s="230"/>
      <c r="IE55" s="230"/>
      <c r="IF55" s="230"/>
      <c r="IG55" s="230"/>
      <c r="IH55" s="230"/>
      <c r="II55" s="230"/>
      <c r="IJ55" s="230"/>
      <c r="IK55" s="230"/>
      <c r="IL55" s="230"/>
      <c r="IM55" s="230"/>
      <c r="IN55" s="230"/>
      <c r="IO55" s="230"/>
      <c r="IP55" s="230"/>
      <c r="IQ55" s="230"/>
    </row>
    <row r="56" spans="1:251" s="73" customFormat="1">
      <c r="A56" s="698" t="s">
        <v>602</v>
      </c>
      <c r="B56" s="698"/>
      <c r="C56" s="421">
        <f>C33</f>
        <v>56</v>
      </c>
      <c r="D56" s="193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0"/>
      <c r="DX56" s="230"/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230"/>
      <c r="EZ56" s="230"/>
      <c r="FA56" s="230"/>
      <c r="FB56" s="230"/>
      <c r="FC56" s="230"/>
      <c r="FD56" s="230"/>
      <c r="FE56" s="230"/>
      <c r="FF56" s="230"/>
      <c r="FG56" s="230"/>
      <c r="FH56" s="230"/>
      <c r="FI56" s="230"/>
      <c r="FJ56" s="230"/>
      <c r="FK56" s="230"/>
      <c r="FL56" s="230"/>
      <c r="FM56" s="230"/>
      <c r="FN56" s="230"/>
      <c r="FO56" s="230"/>
      <c r="FP56" s="230"/>
      <c r="FQ56" s="230"/>
      <c r="FR56" s="230"/>
      <c r="FS56" s="230"/>
      <c r="FT56" s="230"/>
      <c r="FU56" s="230"/>
      <c r="FV56" s="230"/>
      <c r="FW56" s="230"/>
      <c r="FX56" s="230"/>
      <c r="FY56" s="230"/>
      <c r="FZ56" s="230"/>
      <c r="GA56" s="230"/>
      <c r="GB56" s="230"/>
      <c r="GC56" s="230"/>
      <c r="GD56" s="230"/>
      <c r="GE56" s="230"/>
      <c r="GF56" s="230"/>
      <c r="GG56" s="230"/>
      <c r="GH56" s="230"/>
      <c r="GI56" s="230"/>
      <c r="GJ56" s="230"/>
      <c r="GK56" s="230"/>
      <c r="GL56" s="230"/>
      <c r="GM56" s="230"/>
      <c r="GN56" s="230"/>
      <c r="GO56" s="230"/>
      <c r="GP56" s="230"/>
      <c r="GQ56" s="230"/>
      <c r="GR56" s="230"/>
      <c r="GS56" s="230"/>
      <c r="GT56" s="230"/>
      <c r="GU56" s="230"/>
      <c r="GV56" s="230"/>
      <c r="GW56" s="230"/>
      <c r="GX56" s="230"/>
      <c r="GY56" s="230"/>
      <c r="GZ56" s="230"/>
      <c r="HA56" s="230"/>
      <c r="HB56" s="230"/>
      <c r="HC56" s="230"/>
      <c r="HD56" s="230"/>
      <c r="HE56" s="230"/>
      <c r="HF56" s="230"/>
      <c r="HG56" s="230"/>
      <c r="HH56" s="230"/>
      <c r="HI56" s="230"/>
      <c r="HJ56" s="230"/>
      <c r="HK56" s="230"/>
      <c r="HL56" s="230"/>
      <c r="HM56" s="230"/>
      <c r="HN56" s="230"/>
      <c r="HO56" s="230"/>
      <c r="HP56" s="230"/>
      <c r="HQ56" s="230"/>
      <c r="HR56" s="230"/>
      <c r="HS56" s="230"/>
      <c r="HT56" s="230"/>
      <c r="HU56" s="230"/>
      <c r="HV56" s="230"/>
      <c r="HW56" s="230"/>
      <c r="HX56" s="230"/>
      <c r="HY56" s="230"/>
      <c r="HZ56" s="230"/>
      <c r="IA56" s="230"/>
      <c r="IB56" s="230"/>
      <c r="IC56" s="230"/>
      <c r="ID56" s="230"/>
      <c r="IE56" s="230"/>
      <c r="IF56" s="230"/>
      <c r="IG56" s="230"/>
      <c r="IH56" s="230"/>
      <c r="II56" s="230"/>
      <c r="IJ56" s="230"/>
      <c r="IK56" s="230"/>
      <c r="IL56" s="230"/>
      <c r="IM56" s="230"/>
      <c r="IN56" s="230"/>
      <c r="IO56" s="230"/>
      <c r="IP56" s="230"/>
      <c r="IQ56" s="230"/>
    </row>
    <row r="57" spans="1:251" s="73" customFormat="1">
      <c r="A57" s="698" t="s">
        <v>603</v>
      </c>
      <c r="B57" s="698"/>
      <c r="C57" s="421">
        <f>C56*110*1.302*1.48</f>
        <v>11870.073600000002</v>
      </c>
      <c r="D57" s="193">
        <f>ROUND(C57/C37/12,2)</f>
        <v>3.78</v>
      </c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0"/>
      <c r="EM57" s="230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230"/>
      <c r="EZ57" s="230"/>
      <c r="FA57" s="230"/>
      <c r="FB57" s="230"/>
      <c r="FC57" s="230"/>
      <c r="FD57" s="230"/>
      <c r="FE57" s="230"/>
      <c r="FF57" s="230"/>
      <c r="FG57" s="230"/>
      <c r="FH57" s="230"/>
      <c r="FI57" s="230"/>
      <c r="FJ57" s="230"/>
      <c r="FK57" s="230"/>
      <c r="FL57" s="230"/>
      <c r="FM57" s="230"/>
      <c r="FN57" s="230"/>
      <c r="FO57" s="230"/>
      <c r="FP57" s="230"/>
      <c r="FQ57" s="230"/>
      <c r="FR57" s="230"/>
      <c r="FS57" s="230"/>
      <c r="FT57" s="230"/>
      <c r="FU57" s="230"/>
      <c r="FV57" s="230"/>
      <c r="FW57" s="230"/>
      <c r="FX57" s="230"/>
      <c r="FY57" s="230"/>
      <c r="FZ57" s="230"/>
      <c r="GA57" s="230"/>
      <c r="GB57" s="230"/>
      <c r="GC57" s="230"/>
      <c r="GD57" s="230"/>
      <c r="GE57" s="230"/>
      <c r="GF57" s="230"/>
      <c r="GG57" s="230"/>
      <c r="GH57" s="230"/>
      <c r="GI57" s="230"/>
      <c r="GJ57" s="230"/>
      <c r="GK57" s="230"/>
      <c r="GL57" s="230"/>
      <c r="GM57" s="230"/>
      <c r="GN57" s="230"/>
      <c r="GO57" s="230"/>
      <c r="GP57" s="230"/>
      <c r="GQ57" s="230"/>
      <c r="GR57" s="230"/>
      <c r="GS57" s="230"/>
      <c r="GT57" s="230"/>
      <c r="GU57" s="230"/>
      <c r="GV57" s="230"/>
      <c r="GW57" s="230"/>
      <c r="GX57" s="230"/>
      <c r="GY57" s="230"/>
      <c r="GZ57" s="230"/>
      <c r="HA57" s="230"/>
      <c r="HB57" s="230"/>
      <c r="HC57" s="230"/>
      <c r="HD57" s="230"/>
      <c r="HE57" s="230"/>
      <c r="HF57" s="230"/>
      <c r="HG57" s="230"/>
      <c r="HH57" s="230"/>
      <c r="HI57" s="230"/>
      <c r="HJ57" s="230"/>
      <c r="HK57" s="230"/>
      <c r="HL57" s="230"/>
      <c r="HM57" s="230"/>
      <c r="HN57" s="230"/>
      <c r="HO57" s="230"/>
      <c r="HP57" s="230"/>
      <c r="HQ57" s="230"/>
      <c r="HR57" s="230"/>
      <c r="HS57" s="230"/>
      <c r="HT57" s="230"/>
      <c r="HU57" s="230"/>
      <c r="HV57" s="230"/>
      <c r="HW57" s="230"/>
      <c r="HX57" s="230"/>
      <c r="HY57" s="230"/>
      <c r="HZ57" s="230"/>
      <c r="IA57" s="230"/>
      <c r="IB57" s="230"/>
      <c r="IC57" s="230"/>
      <c r="ID57" s="230"/>
      <c r="IE57" s="230"/>
      <c r="IF57" s="230"/>
      <c r="IG57" s="230"/>
      <c r="IH57" s="230"/>
      <c r="II57" s="230"/>
      <c r="IJ57" s="230"/>
      <c r="IK57" s="230"/>
      <c r="IL57" s="230"/>
      <c r="IM57" s="230"/>
      <c r="IN57" s="230"/>
      <c r="IO57" s="230"/>
      <c r="IP57" s="230"/>
      <c r="IQ57" s="230"/>
    </row>
    <row r="58" spans="1:251" s="73" customFormat="1">
      <c r="A58" s="698" t="s">
        <v>1127</v>
      </c>
      <c r="B58" s="698"/>
      <c r="C58" s="421">
        <v>577.72</v>
      </c>
      <c r="D58" s="193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0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0"/>
      <c r="ET58" s="230"/>
      <c r="EU58" s="230"/>
      <c r="EV58" s="230"/>
      <c r="EW58" s="230"/>
      <c r="EX58" s="230"/>
      <c r="EY58" s="230"/>
      <c r="EZ58" s="230"/>
      <c r="FA58" s="230"/>
      <c r="FB58" s="230"/>
      <c r="FC58" s="230"/>
      <c r="FD58" s="230"/>
      <c r="FE58" s="230"/>
      <c r="FF58" s="230"/>
      <c r="FG58" s="230"/>
      <c r="FH58" s="230"/>
      <c r="FI58" s="230"/>
      <c r="FJ58" s="230"/>
      <c r="FK58" s="230"/>
      <c r="FL58" s="230"/>
      <c r="FM58" s="230"/>
      <c r="FN58" s="230"/>
      <c r="FO58" s="230"/>
      <c r="FP58" s="230"/>
      <c r="FQ58" s="230"/>
      <c r="FR58" s="230"/>
      <c r="FS58" s="230"/>
      <c r="FT58" s="230"/>
      <c r="FU58" s="230"/>
      <c r="FV58" s="230"/>
      <c r="FW58" s="230"/>
      <c r="FX58" s="230"/>
      <c r="FY58" s="230"/>
      <c r="FZ58" s="230"/>
      <c r="GA58" s="230"/>
      <c r="GB58" s="230"/>
      <c r="GC58" s="230"/>
      <c r="GD58" s="230"/>
      <c r="GE58" s="230"/>
      <c r="GF58" s="230"/>
      <c r="GG58" s="230"/>
      <c r="GH58" s="230"/>
      <c r="GI58" s="230"/>
      <c r="GJ58" s="230"/>
      <c r="GK58" s="230"/>
      <c r="GL58" s="230"/>
      <c r="GM58" s="230"/>
      <c r="GN58" s="230"/>
      <c r="GO58" s="230"/>
      <c r="GP58" s="230"/>
      <c r="GQ58" s="230"/>
      <c r="GR58" s="230"/>
      <c r="GS58" s="230"/>
      <c r="GT58" s="230"/>
      <c r="GU58" s="230"/>
      <c r="GV58" s="230"/>
      <c r="GW58" s="230"/>
      <c r="GX58" s="230"/>
      <c r="GY58" s="230"/>
      <c r="GZ58" s="230"/>
      <c r="HA58" s="230"/>
      <c r="HB58" s="230"/>
      <c r="HC58" s="230"/>
      <c r="HD58" s="230"/>
      <c r="HE58" s="230"/>
      <c r="HF58" s="230"/>
      <c r="HG58" s="230"/>
      <c r="HH58" s="230"/>
      <c r="HI58" s="230"/>
      <c r="HJ58" s="230"/>
      <c r="HK58" s="230"/>
      <c r="HL58" s="230"/>
      <c r="HM58" s="230"/>
      <c r="HN58" s="230"/>
      <c r="HO58" s="230"/>
      <c r="HP58" s="230"/>
      <c r="HQ58" s="230"/>
      <c r="HR58" s="230"/>
      <c r="HS58" s="230"/>
      <c r="HT58" s="230"/>
      <c r="HU58" s="230"/>
      <c r="HV58" s="230"/>
      <c r="HW58" s="230"/>
      <c r="HX58" s="230"/>
      <c r="HY58" s="230"/>
      <c r="HZ58" s="230"/>
      <c r="IA58" s="230"/>
      <c r="IB58" s="230"/>
      <c r="IC58" s="230"/>
      <c r="ID58" s="230"/>
      <c r="IE58" s="230"/>
      <c r="IF58" s="230"/>
      <c r="IG58" s="230"/>
      <c r="IH58" s="230"/>
      <c r="II58" s="230"/>
      <c r="IJ58" s="230"/>
      <c r="IK58" s="230"/>
      <c r="IL58" s="230"/>
      <c r="IM58" s="230"/>
      <c r="IN58" s="230"/>
      <c r="IO58" s="230"/>
      <c r="IP58" s="230"/>
      <c r="IQ58" s="230"/>
    </row>
    <row r="59" spans="1:251" s="73" customFormat="1">
      <c r="A59" s="698" t="s">
        <v>1128</v>
      </c>
      <c r="B59" s="698"/>
      <c r="C59" s="421">
        <f>C42</f>
        <v>4903.5200000000004</v>
      </c>
      <c r="D59" s="193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  <c r="DT59" s="230"/>
      <c r="DU59" s="230"/>
      <c r="DV59" s="230"/>
      <c r="DW59" s="230"/>
      <c r="DX59" s="230"/>
      <c r="DY59" s="230"/>
      <c r="DZ59" s="230"/>
      <c r="EA59" s="230"/>
      <c r="EB59" s="230"/>
      <c r="EC59" s="230"/>
      <c r="ED59" s="230"/>
      <c r="EE59" s="230"/>
      <c r="EF59" s="230"/>
      <c r="EG59" s="230"/>
      <c r="EH59" s="230"/>
      <c r="EI59" s="230"/>
      <c r="EJ59" s="230"/>
      <c r="EK59" s="230"/>
      <c r="EL59" s="230"/>
      <c r="EM59" s="230"/>
      <c r="EN59" s="230"/>
      <c r="EO59" s="230"/>
      <c r="EP59" s="230"/>
      <c r="EQ59" s="230"/>
      <c r="ER59" s="230"/>
      <c r="ES59" s="230"/>
      <c r="ET59" s="230"/>
      <c r="EU59" s="230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230"/>
      <c r="FO59" s="230"/>
      <c r="FP59" s="230"/>
      <c r="FQ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0"/>
      <c r="GD59" s="230"/>
      <c r="GE59" s="230"/>
      <c r="GF59" s="230"/>
      <c r="GG59" s="230"/>
      <c r="GH59" s="230"/>
      <c r="GI59" s="230"/>
      <c r="GJ59" s="230"/>
      <c r="GK59" s="230"/>
      <c r="GL59" s="230"/>
      <c r="GM59" s="230"/>
      <c r="GN59" s="230"/>
      <c r="GO59" s="230"/>
      <c r="GP59" s="230"/>
      <c r="GQ59" s="230"/>
      <c r="GR59" s="230"/>
      <c r="GS59" s="230"/>
      <c r="GT59" s="230"/>
      <c r="GU59" s="230"/>
      <c r="GV59" s="230"/>
      <c r="GW59" s="230"/>
      <c r="GX59" s="230"/>
      <c r="GY59" s="230"/>
      <c r="GZ59" s="230"/>
      <c r="HA59" s="230"/>
      <c r="HB59" s="230"/>
      <c r="HC59" s="230"/>
      <c r="HD59" s="230"/>
      <c r="HE59" s="230"/>
      <c r="HF59" s="230"/>
      <c r="HG59" s="230"/>
      <c r="HH59" s="230"/>
      <c r="HI59" s="230"/>
      <c r="HJ59" s="230"/>
      <c r="HK59" s="230"/>
      <c r="HL59" s="230"/>
      <c r="HM59" s="230"/>
      <c r="HN59" s="230"/>
      <c r="HO59" s="230"/>
      <c r="HP59" s="230"/>
      <c r="HQ59" s="230"/>
      <c r="HR59" s="230"/>
      <c r="HS59" s="230"/>
      <c r="HT59" s="230"/>
      <c r="HU59" s="230"/>
      <c r="HV59" s="230"/>
      <c r="HW59" s="230"/>
      <c r="HX59" s="230"/>
      <c r="HY59" s="230"/>
      <c r="HZ59" s="230"/>
      <c r="IA59" s="230"/>
      <c r="IB59" s="230"/>
      <c r="IC59" s="230"/>
      <c r="ID59" s="230"/>
      <c r="IE59" s="230"/>
      <c r="IF59" s="230"/>
      <c r="IG59" s="230"/>
      <c r="IH59" s="230"/>
      <c r="II59" s="230"/>
      <c r="IJ59" s="230"/>
      <c r="IK59" s="230"/>
      <c r="IL59" s="230"/>
      <c r="IM59" s="230"/>
      <c r="IN59" s="230"/>
      <c r="IO59" s="230"/>
      <c r="IP59" s="230"/>
      <c r="IQ59" s="230"/>
    </row>
    <row r="60" spans="1:251" s="73" customFormat="1">
      <c r="A60" s="698" t="s">
        <v>724</v>
      </c>
      <c r="B60" s="698"/>
      <c r="C60" s="421">
        <f>1203.42*1.48</f>
        <v>1781.0616</v>
      </c>
      <c r="D60" s="193">
        <f>ROUND(C60/C37/12,2)</f>
        <v>0.56999999999999995</v>
      </c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  <c r="FF60" s="230"/>
      <c r="FG60" s="230"/>
      <c r="FH60" s="230"/>
      <c r="FI60" s="230"/>
      <c r="FJ60" s="230"/>
      <c r="FK60" s="230"/>
      <c r="FL60" s="230"/>
      <c r="FM60" s="230"/>
      <c r="FN60" s="230"/>
      <c r="FO60" s="230"/>
      <c r="FP60" s="230"/>
      <c r="FQ60" s="230"/>
      <c r="FR60" s="230"/>
      <c r="FS60" s="230"/>
      <c r="FT60" s="230"/>
      <c r="FU60" s="230"/>
      <c r="FV60" s="230"/>
      <c r="FW60" s="230"/>
      <c r="FX60" s="230"/>
      <c r="FY60" s="230"/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230"/>
      <c r="GK60" s="230"/>
      <c r="GL60" s="230"/>
      <c r="GM60" s="230"/>
      <c r="GN60" s="230"/>
      <c r="GO60" s="230"/>
      <c r="GP60" s="230"/>
      <c r="GQ60" s="230"/>
      <c r="GR60" s="230"/>
      <c r="GS60" s="230"/>
      <c r="GT60" s="230"/>
      <c r="GU60" s="230"/>
      <c r="GV60" s="230"/>
      <c r="GW60" s="230"/>
      <c r="GX60" s="230"/>
      <c r="GY60" s="230"/>
      <c r="GZ60" s="230"/>
      <c r="HA60" s="230"/>
      <c r="HB60" s="230"/>
      <c r="HC60" s="230"/>
      <c r="HD60" s="230"/>
      <c r="HE60" s="230"/>
      <c r="HF60" s="230"/>
      <c r="HG60" s="230"/>
      <c r="HH60" s="230"/>
      <c r="HI60" s="230"/>
      <c r="HJ60" s="230"/>
      <c r="HK60" s="230"/>
      <c r="HL60" s="230"/>
      <c r="HM60" s="230"/>
      <c r="HN60" s="230"/>
      <c r="HO60" s="230"/>
      <c r="HP60" s="230"/>
      <c r="HQ60" s="230"/>
      <c r="HR60" s="230"/>
      <c r="HS60" s="230"/>
      <c r="HT60" s="230"/>
      <c r="HU60" s="230"/>
      <c r="HV60" s="230"/>
      <c r="HW60" s="230"/>
      <c r="HX60" s="230"/>
      <c r="HY60" s="230"/>
      <c r="HZ60" s="230"/>
      <c r="IA60" s="230"/>
      <c r="IB60" s="230"/>
      <c r="IC60" s="230"/>
      <c r="ID60" s="230"/>
      <c r="IE60" s="230"/>
      <c r="IF60" s="230"/>
      <c r="IG60" s="230"/>
      <c r="IH60" s="230"/>
      <c r="II60" s="230"/>
      <c r="IJ60" s="230"/>
      <c r="IK60" s="230"/>
      <c r="IL60" s="230"/>
      <c r="IM60" s="230"/>
      <c r="IN60" s="230"/>
      <c r="IO60" s="230"/>
      <c r="IP60" s="230"/>
      <c r="IQ60" s="230"/>
    </row>
    <row r="61" spans="1:251" s="73" customFormat="1">
      <c r="A61" s="698" t="s">
        <v>1565</v>
      </c>
      <c r="B61" s="698"/>
      <c r="C61" s="421">
        <v>1626.48</v>
      </c>
      <c r="D61" s="193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0"/>
      <c r="DX61" s="230"/>
      <c r="DY61" s="230"/>
      <c r="DZ61" s="230"/>
      <c r="EA61" s="230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0"/>
      <c r="EP61" s="230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0"/>
      <c r="FF61" s="230"/>
      <c r="FG61" s="230"/>
      <c r="FH61" s="230"/>
      <c r="FI61" s="230"/>
      <c r="FJ61" s="230"/>
      <c r="FK61" s="230"/>
      <c r="FL61" s="230"/>
      <c r="FM61" s="230"/>
      <c r="FN61" s="230"/>
      <c r="FO61" s="230"/>
      <c r="FP61" s="230"/>
      <c r="FQ61" s="230"/>
      <c r="FR61" s="230"/>
      <c r="FS61" s="230"/>
      <c r="FT61" s="230"/>
      <c r="FU61" s="230"/>
      <c r="FV61" s="230"/>
      <c r="FW61" s="230"/>
      <c r="FX61" s="230"/>
      <c r="FY61" s="230"/>
      <c r="FZ61" s="230"/>
      <c r="GA61" s="230"/>
      <c r="GB61" s="230"/>
      <c r="GC61" s="230"/>
      <c r="GD61" s="230"/>
      <c r="GE61" s="230"/>
      <c r="GF61" s="230"/>
      <c r="GG61" s="230"/>
      <c r="GH61" s="230"/>
      <c r="GI61" s="230"/>
      <c r="GJ61" s="230"/>
      <c r="GK61" s="230"/>
      <c r="GL61" s="230"/>
      <c r="GM61" s="230"/>
      <c r="GN61" s="230"/>
      <c r="GO61" s="230"/>
      <c r="GP61" s="230"/>
      <c r="GQ61" s="230"/>
      <c r="GR61" s="230"/>
      <c r="GS61" s="230"/>
      <c r="GT61" s="230"/>
      <c r="GU61" s="230"/>
      <c r="GV61" s="230"/>
      <c r="GW61" s="230"/>
      <c r="GX61" s="230"/>
      <c r="GY61" s="230"/>
      <c r="GZ61" s="230"/>
      <c r="HA61" s="230"/>
      <c r="HB61" s="230"/>
      <c r="HC61" s="230"/>
      <c r="HD61" s="230"/>
      <c r="HE61" s="230"/>
      <c r="HF61" s="230"/>
      <c r="HG61" s="230"/>
      <c r="HH61" s="230"/>
      <c r="HI61" s="230"/>
      <c r="HJ61" s="230"/>
      <c r="HK61" s="230"/>
      <c r="HL61" s="230"/>
      <c r="HM61" s="230"/>
      <c r="HN61" s="230"/>
      <c r="HO61" s="230"/>
      <c r="HP61" s="230"/>
      <c r="HQ61" s="230"/>
      <c r="HR61" s="230"/>
      <c r="HS61" s="230"/>
      <c r="HT61" s="230"/>
      <c r="HU61" s="230"/>
      <c r="HV61" s="230"/>
      <c r="HW61" s="230"/>
      <c r="HX61" s="230"/>
      <c r="HY61" s="230"/>
      <c r="HZ61" s="230"/>
      <c r="IA61" s="230"/>
      <c r="IB61" s="230"/>
      <c r="IC61" s="230"/>
      <c r="ID61" s="230"/>
      <c r="IE61" s="230"/>
      <c r="IF61" s="230"/>
      <c r="IG61" s="230"/>
      <c r="IH61" s="230"/>
      <c r="II61" s="230"/>
      <c r="IJ61" s="230"/>
      <c r="IK61" s="230"/>
      <c r="IL61" s="230"/>
      <c r="IM61" s="230"/>
      <c r="IN61" s="230"/>
      <c r="IO61" s="230"/>
      <c r="IP61" s="230"/>
      <c r="IQ61" s="230"/>
    </row>
    <row r="62" spans="1:251" s="73" customFormat="1">
      <c r="A62" s="698" t="s">
        <v>1566</v>
      </c>
      <c r="B62" s="698"/>
      <c r="C62" s="421">
        <f>C45-C47+C61</f>
        <v>9706.3536465265533</v>
      </c>
      <c r="D62" s="193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0"/>
      <c r="FF62" s="230"/>
      <c r="FG62" s="230"/>
      <c r="FH62" s="230"/>
      <c r="FI62" s="230"/>
      <c r="FJ62" s="230"/>
      <c r="FK62" s="230"/>
      <c r="FL62" s="230"/>
      <c r="FM62" s="230"/>
      <c r="FN62" s="230"/>
      <c r="FO62" s="230"/>
      <c r="FP62" s="230"/>
      <c r="FQ62" s="230"/>
      <c r="FR62" s="230"/>
      <c r="FS62" s="230"/>
      <c r="FT62" s="230"/>
      <c r="FU62" s="230"/>
      <c r="FV62" s="230"/>
      <c r="FW62" s="230"/>
      <c r="FX62" s="230"/>
      <c r="FY62" s="230"/>
      <c r="FZ62" s="230"/>
      <c r="GA62" s="230"/>
      <c r="GB62" s="230"/>
      <c r="GC62" s="230"/>
      <c r="GD62" s="230"/>
      <c r="GE62" s="230"/>
      <c r="GF62" s="230"/>
      <c r="GG62" s="230"/>
      <c r="GH62" s="230"/>
      <c r="GI62" s="230"/>
      <c r="GJ62" s="230"/>
      <c r="GK62" s="230"/>
      <c r="GL62" s="230"/>
      <c r="GM62" s="230"/>
      <c r="GN62" s="230"/>
      <c r="GO62" s="230"/>
      <c r="GP62" s="230"/>
      <c r="GQ62" s="230"/>
      <c r="GR62" s="230"/>
      <c r="GS62" s="230"/>
      <c r="GT62" s="230"/>
      <c r="GU62" s="230"/>
      <c r="GV62" s="230"/>
      <c r="GW62" s="230"/>
      <c r="GX62" s="230"/>
      <c r="GY62" s="230"/>
      <c r="GZ62" s="230"/>
      <c r="HA62" s="230"/>
      <c r="HB62" s="230"/>
      <c r="HC62" s="230"/>
      <c r="HD62" s="230"/>
      <c r="HE62" s="230"/>
      <c r="HF62" s="230"/>
      <c r="HG62" s="230"/>
      <c r="HH62" s="230"/>
      <c r="HI62" s="230"/>
      <c r="HJ62" s="230"/>
      <c r="HK62" s="230"/>
      <c r="HL62" s="230"/>
      <c r="HM62" s="230"/>
      <c r="HN62" s="230"/>
      <c r="HO62" s="230"/>
      <c r="HP62" s="230"/>
      <c r="HQ62" s="230"/>
      <c r="HR62" s="230"/>
      <c r="HS62" s="230"/>
      <c r="HT62" s="230"/>
      <c r="HU62" s="230"/>
      <c r="HV62" s="230"/>
      <c r="HW62" s="230"/>
      <c r="HX62" s="230"/>
      <c r="HY62" s="230"/>
      <c r="HZ62" s="230"/>
      <c r="IA62" s="230"/>
      <c r="IB62" s="230"/>
      <c r="IC62" s="230"/>
      <c r="ID62" s="230"/>
      <c r="IE62" s="230"/>
      <c r="IF62" s="230"/>
      <c r="IG62" s="230"/>
      <c r="IH62" s="230"/>
      <c r="II62" s="230"/>
      <c r="IJ62" s="230"/>
      <c r="IK62" s="230"/>
      <c r="IL62" s="230"/>
      <c r="IM62" s="230"/>
      <c r="IN62" s="230"/>
      <c r="IO62" s="230"/>
      <c r="IP62" s="230"/>
      <c r="IQ62" s="230"/>
    </row>
    <row r="63" spans="1:25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179"/>
      <c r="FP63" s="179"/>
      <c r="FQ63" s="179"/>
      <c r="FR63" s="179"/>
      <c r="FS63" s="179"/>
      <c r="FT63" s="179"/>
      <c r="FU63" s="179"/>
      <c r="FV63" s="179"/>
      <c r="FW63" s="179"/>
      <c r="FX63" s="179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  <c r="GI63" s="179"/>
      <c r="GJ63" s="179"/>
      <c r="GK63" s="179"/>
      <c r="GL63" s="179"/>
      <c r="GM63" s="179"/>
      <c r="GN63" s="179"/>
      <c r="GO63" s="179"/>
      <c r="GP63" s="179"/>
      <c r="GQ63" s="179"/>
      <c r="GR63" s="179"/>
      <c r="GS63" s="179"/>
      <c r="GT63" s="179"/>
      <c r="GU63" s="179"/>
      <c r="GV63" s="179"/>
      <c r="GW63" s="179"/>
      <c r="GX63" s="179"/>
      <c r="GY63" s="179"/>
      <c r="GZ63" s="179"/>
      <c r="HA63" s="179"/>
      <c r="HB63" s="179"/>
      <c r="HC63" s="179"/>
      <c r="HD63" s="179"/>
      <c r="HE63" s="179"/>
      <c r="HF63" s="179"/>
      <c r="HG63" s="179"/>
      <c r="HH63" s="179"/>
      <c r="HI63" s="179"/>
      <c r="HJ63" s="179"/>
      <c r="HK63" s="179"/>
      <c r="HL63" s="179"/>
      <c r="HM63" s="179"/>
      <c r="HN63" s="179"/>
      <c r="HO63" s="179"/>
      <c r="HP63" s="179"/>
      <c r="HQ63" s="179"/>
      <c r="HR63" s="179"/>
      <c r="HS63" s="179"/>
      <c r="HT63" s="179"/>
      <c r="HU63" s="179"/>
      <c r="HV63" s="179"/>
      <c r="HW63" s="179"/>
      <c r="HX63" s="179"/>
      <c r="HY63" s="179"/>
      <c r="HZ63" s="179"/>
      <c r="IA63" s="179"/>
      <c r="IB63" s="179"/>
      <c r="IC63" s="179"/>
      <c r="ID63" s="179"/>
      <c r="IE63" s="179"/>
      <c r="IF63" s="179"/>
      <c r="IG63" s="179"/>
      <c r="IH63" s="179"/>
      <c r="II63" s="179"/>
      <c r="IJ63" s="179"/>
      <c r="IK63" s="179"/>
      <c r="IL63" s="179"/>
      <c r="IM63" s="179"/>
      <c r="IN63" s="179"/>
      <c r="IO63" s="179"/>
      <c r="IP63" s="179"/>
      <c r="IQ63" s="179"/>
    </row>
    <row r="64" spans="1:251">
      <c r="A64" s="362" t="s">
        <v>605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  <c r="GI64" s="179"/>
      <c r="GJ64" s="179"/>
      <c r="GK64" s="179"/>
      <c r="GL64" s="179"/>
      <c r="GM64" s="179"/>
      <c r="GN64" s="179"/>
      <c r="GO64" s="179"/>
      <c r="GP64" s="179"/>
      <c r="GQ64" s="179"/>
      <c r="GR64" s="179"/>
      <c r="GS64" s="179"/>
      <c r="GT64" s="179"/>
      <c r="GU64" s="179"/>
      <c r="GV64" s="179"/>
      <c r="GW64" s="179"/>
      <c r="GX64" s="179"/>
      <c r="GY64" s="179"/>
      <c r="GZ64" s="179"/>
      <c r="HA64" s="179"/>
      <c r="HB64" s="179"/>
      <c r="HC64" s="179"/>
      <c r="HD64" s="179"/>
      <c r="HE64" s="179"/>
      <c r="HF64" s="179"/>
      <c r="HG64" s="179"/>
      <c r="HH64" s="179"/>
      <c r="HI64" s="179"/>
      <c r="HJ64" s="179"/>
      <c r="HK64" s="179"/>
      <c r="HL64" s="179"/>
      <c r="HM64" s="179"/>
      <c r="HN64" s="179"/>
      <c r="HO64" s="179"/>
      <c r="HP64" s="179"/>
      <c r="HQ64" s="179"/>
      <c r="HR64" s="179"/>
      <c r="HS64" s="179"/>
      <c r="HT64" s="179"/>
      <c r="HU64" s="179"/>
      <c r="HV64" s="179"/>
      <c r="HW64" s="179"/>
      <c r="HX64" s="179"/>
      <c r="HY64" s="179"/>
      <c r="HZ64" s="179"/>
      <c r="IA64" s="179"/>
      <c r="IB64" s="179"/>
      <c r="IC64" s="179"/>
      <c r="ID64" s="179"/>
      <c r="IE64" s="179"/>
      <c r="IF64" s="179"/>
      <c r="IG64" s="179"/>
      <c r="IH64" s="179"/>
      <c r="II64" s="179"/>
      <c r="IJ64" s="179"/>
      <c r="IK64" s="179"/>
      <c r="IL64" s="179"/>
      <c r="IM64" s="179"/>
      <c r="IN64" s="179"/>
      <c r="IO64" s="179"/>
      <c r="IP64" s="179"/>
      <c r="IQ64" s="179"/>
    </row>
    <row r="66" spans="1:3">
      <c r="A66" s="321" t="s">
        <v>519</v>
      </c>
      <c r="C66">
        <f>5.94*12*C37</f>
        <v>18661.103999999999</v>
      </c>
    </row>
    <row r="68" spans="1:3">
      <c r="C68" s="276">
        <f>C66+C47</f>
        <v>55665.238353473447</v>
      </c>
    </row>
    <row r="69" spans="1:3">
      <c r="C69">
        <f>C66/C68</f>
        <v>0.33523801481819343</v>
      </c>
    </row>
  </sheetData>
  <mergeCells count="30">
    <mergeCell ref="A1:C1"/>
    <mergeCell ref="A2:C2"/>
    <mergeCell ref="A3:C3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6:B46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50"/>
  <sheetViews>
    <sheetView topLeftCell="A115" workbookViewId="0">
      <selection activeCell="A118" sqref="A118:C146"/>
    </sheetView>
  </sheetViews>
  <sheetFormatPr defaultRowHeight="15"/>
  <cols>
    <col min="1" max="1" width="80.5703125" customWidth="1"/>
    <col min="2" max="2" width="0.140625" customWidth="1"/>
    <col min="3" max="3" width="16" customWidth="1"/>
  </cols>
  <sheetData>
    <row r="1" spans="1:3" ht="15.75">
      <c r="A1" s="701" t="s">
        <v>364</v>
      </c>
      <c r="B1" s="701"/>
      <c r="C1" s="701"/>
    </row>
    <row r="2" spans="1:3" ht="15.75">
      <c r="A2" s="702" t="s">
        <v>1578</v>
      </c>
      <c r="B2" s="702"/>
      <c r="C2" s="702"/>
    </row>
    <row r="3" spans="1:3" s="55" customFormat="1" ht="15.75">
      <c r="A3" s="702" t="s">
        <v>1616</v>
      </c>
      <c r="B3" s="702"/>
      <c r="C3" s="702"/>
    </row>
    <row r="4" spans="1:3" s="55" customFormat="1" ht="15.75">
      <c r="A4" s="126"/>
      <c r="B4" s="74"/>
      <c r="C4" s="74"/>
    </row>
    <row r="5" spans="1:3" s="73" customFormat="1">
      <c r="A5" s="438" t="s">
        <v>229</v>
      </c>
      <c r="B5" s="83" t="s">
        <v>231</v>
      </c>
      <c r="C5" s="82" t="s">
        <v>549</v>
      </c>
    </row>
    <row r="6" spans="1:3" s="73" customFormat="1" ht="15.75" thickBot="1">
      <c r="A6" s="450" t="s">
        <v>45</v>
      </c>
      <c r="B6" s="72"/>
      <c r="C6" s="72"/>
    </row>
    <row r="7" spans="1:3" s="73" customFormat="1" ht="15.75" thickBot="1">
      <c r="A7" s="451" t="s">
        <v>56</v>
      </c>
      <c r="B7" s="72"/>
      <c r="C7" s="72"/>
    </row>
    <row r="8" spans="1:3" s="73" customFormat="1" ht="15.75" thickBot="1">
      <c r="A8" s="451" t="s">
        <v>280</v>
      </c>
      <c r="B8" s="72"/>
      <c r="C8" s="72"/>
    </row>
    <row r="9" spans="1:3" ht="15.75" thickBot="1">
      <c r="A9" s="439" t="s">
        <v>57</v>
      </c>
      <c r="B9" s="76"/>
      <c r="C9" s="76"/>
    </row>
    <row r="10" spans="1:3" ht="15.75" thickBot="1">
      <c r="A10" s="468" t="s">
        <v>374</v>
      </c>
      <c r="B10" s="81" t="s">
        <v>253</v>
      </c>
      <c r="C10" s="81">
        <v>1</v>
      </c>
    </row>
    <row r="11" spans="1:3">
      <c r="A11" s="463" t="s">
        <v>524</v>
      </c>
      <c r="B11" s="81" t="s">
        <v>256</v>
      </c>
      <c r="C11" s="81">
        <v>1</v>
      </c>
    </row>
    <row r="12" spans="1:3">
      <c r="A12" s="91" t="s">
        <v>375</v>
      </c>
      <c r="B12" s="76" t="s">
        <v>265</v>
      </c>
      <c r="C12" s="76">
        <v>5</v>
      </c>
    </row>
    <row r="13" spans="1:3" ht="15.75" thickBot="1">
      <c r="A13" s="468" t="s">
        <v>380</v>
      </c>
      <c r="B13" s="81" t="s">
        <v>275</v>
      </c>
      <c r="C13" s="81">
        <v>2</v>
      </c>
    </row>
    <row r="14" spans="1:3" ht="10.5" customHeight="1" thickBot="1">
      <c r="A14" s="468" t="s">
        <v>381</v>
      </c>
      <c r="B14" s="462" t="s">
        <v>382</v>
      </c>
      <c r="C14" s="81">
        <v>24</v>
      </c>
    </row>
    <row r="15" spans="1:3">
      <c r="A15" s="440" t="s">
        <v>262</v>
      </c>
      <c r="B15" s="76" t="s">
        <v>260</v>
      </c>
      <c r="C15" s="76">
        <v>3</v>
      </c>
    </row>
    <row r="16" spans="1:3" s="73" customFormat="1" ht="15" customHeight="1">
      <c r="A16" s="440" t="s">
        <v>396</v>
      </c>
      <c r="B16" s="76" t="s">
        <v>266</v>
      </c>
      <c r="C16" s="76">
        <v>4</v>
      </c>
    </row>
    <row r="17" spans="1:3" s="73" customFormat="1">
      <c r="A17" s="440" t="s">
        <v>335</v>
      </c>
      <c r="B17" s="76" t="s">
        <v>261</v>
      </c>
      <c r="C17" s="76">
        <v>8</v>
      </c>
    </row>
    <row r="18" spans="1:3" s="73" customFormat="1" ht="15" customHeight="1">
      <c r="A18" s="440" t="s">
        <v>336</v>
      </c>
      <c r="B18" s="76" t="s">
        <v>261</v>
      </c>
      <c r="C18" s="76">
        <v>16</v>
      </c>
    </row>
    <row r="19" spans="1:3" s="73" customFormat="1">
      <c r="A19" s="440" t="s">
        <v>397</v>
      </c>
      <c r="B19" s="76" t="s">
        <v>398</v>
      </c>
      <c r="C19" s="76">
        <v>15</v>
      </c>
    </row>
    <row r="20" spans="1:3" s="73" customFormat="1">
      <c r="A20" s="76" t="s">
        <v>399</v>
      </c>
      <c r="B20" s="76" t="s">
        <v>400</v>
      </c>
      <c r="C20" s="76">
        <v>2</v>
      </c>
    </row>
    <row r="21" spans="1:3" s="73" customFormat="1">
      <c r="A21" s="441" t="s">
        <v>526</v>
      </c>
      <c r="B21" s="76" t="s">
        <v>401</v>
      </c>
      <c r="C21" s="76">
        <v>4</v>
      </c>
    </row>
    <row r="22" spans="1:3" s="73" customFormat="1">
      <c r="A22" s="440" t="s">
        <v>404</v>
      </c>
      <c r="B22" s="76" t="s">
        <v>366</v>
      </c>
      <c r="C22" s="76">
        <v>3</v>
      </c>
    </row>
    <row r="23" spans="1:3" s="73" customFormat="1" ht="16.5" customHeight="1">
      <c r="A23" s="446" t="s">
        <v>371</v>
      </c>
      <c r="B23" s="80" t="s">
        <v>369</v>
      </c>
      <c r="C23" s="76">
        <v>1</v>
      </c>
    </row>
    <row r="24" spans="1:3" s="73" customFormat="1">
      <c r="A24" s="442" t="s">
        <v>66</v>
      </c>
      <c r="B24" s="76"/>
      <c r="C24" s="76"/>
    </row>
    <row r="25" spans="1:3">
      <c r="A25" s="460" t="s">
        <v>376</v>
      </c>
      <c r="B25" s="76" t="s">
        <v>352</v>
      </c>
      <c r="C25" s="76">
        <v>1</v>
      </c>
    </row>
    <row r="26" spans="1:3">
      <c r="A26" s="91" t="s">
        <v>383</v>
      </c>
      <c r="B26" s="76" t="s">
        <v>384</v>
      </c>
      <c r="C26" s="76">
        <v>9</v>
      </c>
    </row>
    <row r="27" spans="1:3">
      <c r="A27" s="469" t="s">
        <v>385</v>
      </c>
      <c r="B27" s="76" t="s">
        <v>351</v>
      </c>
      <c r="C27" s="76">
        <v>12</v>
      </c>
    </row>
    <row r="28" spans="1:3" ht="16.5" customHeight="1">
      <c r="A28" s="91" t="s">
        <v>386</v>
      </c>
      <c r="B28" s="80" t="s">
        <v>351</v>
      </c>
      <c r="C28" s="76">
        <v>16</v>
      </c>
    </row>
    <row r="29" spans="1:3" ht="15" customHeight="1">
      <c r="A29" s="62" t="s">
        <v>258</v>
      </c>
      <c r="B29" s="76" t="s">
        <v>257</v>
      </c>
      <c r="C29" s="76">
        <v>2</v>
      </c>
    </row>
    <row r="30" spans="1:3" ht="15" customHeight="1">
      <c r="A30" s="62" t="s">
        <v>259</v>
      </c>
      <c r="B30" s="76" t="s">
        <v>263</v>
      </c>
      <c r="C30" s="76">
        <f>2+2</f>
        <v>4</v>
      </c>
    </row>
    <row r="31" spans="1:3" ht="34.5" customHeight="1">
      <c r="A31" s="461" t="s">
        <v>532</v>
      </c>
      <c r="B31" s="76" t="s">
        <v>334</v>
      </c>
      <c r="C31" s="76">
        <v>2</v>
      </c>
    </row>
    <row r="32" spans="1:3">
      <c r="A32" s="443" t="s">
        <v>90</v>
      </c>
      <c r="B32" s="76"/>
      <c r="C32" s="76"/>
    </row>
    <row r="33" spans="1:3">
      <c r="A33" s="463" t="s">
        <v>377</v>
      </c>
      <c r="B33" s="76" t="s">
        <v>253</v>
      </c>
      <c r="C33" s="76">
        <v>1</v>
      </c>
    </row>
    <row r="34" spans="1:3">
      <c r="A34" s="91" t="s">
        <v>553</v>
      </c>
      <c r="B34" s="76" t="s">
        <v>270</v>
      </c>
      <c r="C34" s="76">
        <v>1</v>
      </c>
    </row>
    <row r="35" spans="1:3">
      <c r="A35" s="91" t="s">
        <v>554</v>
      </c>
      <c r="B35" s="76" t="s">
        <v>270</v>
      </c>
      <c r="C35" s="76">
        <v>1</v>
      </c>
    </row>
    <row r="36" spans="1:3">
      <c r="A36" s="91" t="s">
        <v>555</v>
      </c>
      <c r="B36" s="76" t="s">
        <v>270</v>
      </c>
      <c r="C36" s="76">
        <v>1</v>
      </c>
    </row>
    <row r="37" spans="1:3">
      <c r="A37" s="91" t="s">
        <v>556</v>
      </c>
      <c r="B37" s="76" t="s">
        <v>270</v>
      </c>
      <c r="C37" s="76">
        <v>1</v>
      </c>
    </row>
    <row r="38" spans="1:3">
      <c r="A38" s="91" t="s">
        <v>557</v>
      </c>
      <c r="B38" s="76" t="s">
        <v>270</v>
      </c>
      <c r="C38" s="76">
        <v>1</v>
      </c>
    </row>
    <row r="39" spans="1:3" ht="28.5" customHeight="1">
      <c r="A39" s="91" t="s">
        <v>387</v>
      </c>
      <c r="B39" s="80" t="s">
        <v>388</v>
      </c>
      <c r="C39" s="76">
        <v>4</v>
      </c>
    </row>
    <row r="40" spans="1:3">
      <c r="A40" s="91" t="s">
        <v>350</v>
      </c>
      <c r="B40" s="76" t="s">
        <v>270</v>
      </c>
      <c r="C40" s="76">
        <v>2</v>
      </c>
    </row>
    <row r="41" spans="1:3">
      <c r="A41" s="463" t="s">
        <v>389</v>
      </c>
      <c r="B41" s="76" t="s">
        <v>253</v>
      </c>
      <c r="C41" s="76">
        <v>2</v>
      </c>
    </row>
    <row r="42" spans="1:3" s="73" customFormat="1">
      <c r="A42" s="444" t="s">
        <v>558</v>
      </c>
      <c r="B42" s="76" t="s">
        <v>299</v>
      </c>
      <c r="C42" s="76">
        <v>2.5</v>
      </c>
    </row>
    <row r="43" spans="1:3" s="73" customFormat="1">
      <c r="A43" s="444" t="s">
        <v>559</v>
      </c>
      <c r="B43" s="76" t="s">
        <v>299</v>
      </c>
      <c r="C43" s="76">
        <v>2.5</v>
      </c>
    </row>
    <row r="44" spans="1:3" s="73" customFormat="1">
      <c r="A44" s="444" t="s">
        <v>560</v>
      </c>
      <c r="B44" s="76" t="s">
        <v>361</v>
      </c>
      <c r="C44" s="76">
        <v>2.25</v>
      </c>
    </row>
    <row r="45" spans="1:3" ht="15" customHeight="1">
      <c r="A45" s="446" t="s">
        <v>394</v>
      </c>
      <c r="B45" s="76" t="s">
        <v>273</v>
      </c>
      <c r="C45" s="76">
        <v>1.5</v>
      </c>
    </row>
    <row r="46" spans="1:3" ht="15" customHeight="1">
      <c r="A46" s="446" t="s">
        <v>395</v>
      </c>
      <c r="B46" s="76" t="s">
        <v>266</v>
      </c>
      <c r="C46" s="76">
        <v>4</v>
      </c>
    </row>
    <row r="47" spans="1:3">
      <c r="A47" s="91" t="s">
        <v>561</v>
      </c>
      <c r="B47" s="76" t="s">
        <v>270</v>
      </c>
      <c r="C47" s="76">
        <v>2</v>
      </c>
    </row>
    <row r="48" spans="1:3" s="73" customFormat="1">
      <c r="A48" s="444" t="s">
        <v>562</v>
      </c>
      <c r="B48" s="76" t="s">
        <v>361</v>
      </c>
      <c r="C48" s="76">
        <v>2.25</v>
      </c>
    </row>
    <row r="49" spans="1:3" s="73" customFormat="1" ht="29.25" customHeight="1">
      <c r="A49" s="446" t="s">
        <v>291</v>
      </c>
      <c r="B49" s="80" t="s">
        <v>292</v>
      </c>
      <c r="C49" s="76">
        <v>1.5</v>
      </c>
    </row>
    <row r="50" spans="1:3" s="73" customFormat="1">
      <c r="A50" s="444" t="s">
        <v>298</v>
      </c>
      <c r="B50" s="76" t="s">
        <v>299</v>
      </c>
      <c r="C50" s="76">
        <v>2.2999999999999998</v>
      </c>
    </row>
    <row r="51" spans="1:3" s="73" customFormat="1" ht="13.5" customHeight="1">
      <c r="A51" s="446" t="s">
        <v>311</v>
      </c>
      <c r="B51" s="80" t="s">
        <v>253</v>
      </c>
      <c r="C51" s="76">
        <v>0.8</v>
      </c>
    </row>
    <row r="52" spans="1:3" s="73" customFormat="1" ht="13.5" customHeight="1">
      <c r="A52" s="446" t="s">
        <v>563</v>
      </c>
      <c r="B52" s="80" t="s">
        <v>253</v>
      </c>
      <c r="C52" s="76">
        <v>0.8</v>
      </c>
    </row>
    <row r="53" spans="1:3" s="73" customFormat="1" ht="13.5" customHeight="1">
      <c r="A53" s="446" t="s">
        <v>564</v>
      </c>
      <c r="B53" s="80" t="s">
        <v>253</v>
      </c>
      <c r="C53" s="76">
        <v>0.8</v>
      </c>
    </row>
    <row r="54" spans="1:3">
      <c r="A54" s="91" t="s">
        <v>565</v>
      </c>
      <c r="B54" s="76" t="s">
        <v>270</v>
      </c>
      <c r="C54" s="76">
        <v>1</v>
      </c>
    </row>
    <row r="55" spans="1:3">
      <c r="A55" s="91" t="s">
        <v>566</v>
      </c>
      <c r="B55" s="76" t="s">
        <v>270</v>
      </c>
      <c r="C55" s="76">
        <v>1</v>
      </c>
    </row>
    <row r="56" spans="1:3" s="73" customFormat="1" ht="18" customHeight="1">
      <c r="A56" s="446" t="s">
        <v>568</v>
      </c>
      <c r="B56" s="80" t="s">
        <v>567</v>
      </c>
      <c r="C56" s="76">
        <v>1.5</v>
      </c>
    </row>
    <row r="57" spans="1:3" s="73" customFormat="1" ht="18" customHeight="1">
      <c r="A57" s="446" t="s">
        <v>569</v>
      </c>
      <c r="B57" s="80" t="s">
        <v>567</v>
      </c>
      <c r="C57" s="76">
        <v>1.5</v>
      </c>
    </row>
    <row r="58" spans="1:3" s="73" customFormat="1" ht="18" customHeight="1">
      <c r="A58" s="446" t="s">
        <v>570</v>
      </c>
      <c r="B58" s="80" t="s">
        <v>567</v>
      </c>
      <c r="C58" s="76">
        <v>1.5</v>
      </c>
    </row>
    <row r="59" spans="1:3" s="73" customFormat="1" ht="18" customHeight="1">
      <c r="A59" s="446" t="s">
        <v>571</v>
      </c>
      <c r="B59" s="80" t="s">
        <v>567</v>
      </c>
      <c r="C59" s="76">
        <v>1.5</v>
      </c>
    </row>
    <row r="60" spans="1:3" s="90" customFormat="1" ht="21.75" customHeight="1">
      <c r="A60" s="446" t="s">
        <v>357</v>
      </c>
      <c r="B60" s="80" t="s">
        <v>270</v>
      </c>
      <c r="C60" s="76">
        <v>1</v>
      </c>
    </row>
    <row r="61" spans="1:3" s="73" customFormat="1" ht="33" customHeight="1">
      <c r="A61" s="445" t="s">
        <v>358</v>
      </c>
      <c r="B61" s="80" t="s">
        <v>359</v>
      </c>
      <c r="C61" s="76">
        <v>1.2</v>
      </c>
    </row>
    <row r="62" spans="1:3" s="73" customFormat="1">
      <c r="A62" s="444" t="s">
        <v>360</v>
      </c>
      <c r="B62" s="76" t="s">
        <v>361</v>
      </c>
      <c r="C62" s="76">
        <v>2.25</v>
      </c>
    </row>
    <row r="63" spans="1:3" s="73" customFormat="1" ht="18" customHeight="1">
      <c r="A63" s="446" t="s">
        <v>572</v>
      </c>
      <c r="B63" s="80" t="s">
        <v>567</v>
      </c>
      <c r="C63" s="76">
        <v>1.5</v>
      </c>
    </row>
    <row r="64" spans="1:3" s="73" customFormat="1" ht="27.75" customHeight="1">
      <c r="A64" s="446" t="s">
        <v>407</v>
      </c>
      <c r="B64" s="80" t="s">
        <v>344</v>
      </c>
      <c r="C64" s="76">
        <v>4</v>
      </c>
    </row>
    <row r="65" spans="1:3" s="73" customFormat="1" ht="18" customHeight="1">
      <c r="A65" s="446" t="s">
        <v>573</v>
      </c>
      <c r="B65" s="80" t="s">
        <v>567</v>
      </c>
      <c r="C65" s="76">
        <v>1.5</v>
      </c>
    </row>
    <row r="66" spans="1:3" s="73" customFormat="1" ht="33" customHeight="1">
      <c r="A66" s="445" t="s">
        <v>408</v>
      </c>
      <c r="B66" s="80" t="s">
        <v>266</v>
      </c>
      <c r="C66" s="76">
        <v>1</v>
      </c>
    </row>
    <row r="67" spans="1:3" s="73" customFormat="1" ht="18" customHeight="1">
      <c r="A67" s="446" t="s">
        <v>574</v>
      </c>
      <c r="B67" s="80" t="s">
        <v>567</v>
      </c>
      <c r="C67" s="76">
        <v>1.5</v>
      </c>
    </row>
    <row r="68" spans="1:3" s="73" customFormat="1" ht="33" customHeight="1">
      <c r="A68" s="445" t="s">
        <v>527</v>
      </c>
      <c r="B68" s="80" t="s">
        <v>355</v>
      </c>
      <c r="C68" s="76">
        <v>6</v>
      </c>
    </row>
    <row r="69" spans="1:3" s="73" customFormat="1" ht="18" customHeight="1">
      <c r="A69" s="446" t="s">
        <v>575</v>
      </c>
      <c r="B69" s="80" t="s">
        <v>567</v>
      </c>
      <c r="C69" s="76">
        <v>1.5</v>
      </c>
    </row>
    <row r="70" spans="1:3" s="73" customFormat="1" ht="33" customHeight="1">
      <c r="A70" s="445" t="s">
        <v>529</v>
      </c>
      <c r="B70" s="80" t="s">
        <v>530</v>
      </c>
      <c r="C70" s="76">
        <v>6</v>
      </c>
    </row>
    <row r="71" spans="1:3" s="73" customFormat="1" ht="21.75" customHeight="1">
      <c r="A71" s="445" t="s">
        <v>531</v>
      </c>
      <c r="B71" s="80" t="s">
        <v>410</v>
      </c>
      <c r="C71" s="76">
        <v>3</v>
      </c>
    </row>
    <row r="72" spans="1:3" s="73" customFormat="1" ht="18" customHeight="1">
      <c r="A72" s="446" t="s">
        <v>576</v>
      </c>
      <c r="B72" s="80" t="s">
        <v>567</v>
      </c>
      <c r="C72" s="76">
        <v>1.5</v>
      </c>
    </row>
    <row r="73" spans="1:3" s="73" customFormat="1" ht="36.75" customHeight="1">
      <c r="A73" s="445" t="s">
        <v>547</v>
      </c>
      <c r="B73" s="80" t="s">
        <v>363</v>
      </c>
      <c r="C73" s="76">
        <v>6</v>
      </c>
    </row>
    <row r="74" spans="1:3" s="73" customFormat="1" ht="33.75" customHeight="1">
      <c r="A74" s="445" t="s">
        <v>546</v>
      </c>
      <c r="B74" s="80" t="s">
        <v>411</v>
      </c>
      <c r="C74" s="76">
        <v>3</v>
      </c>
    </row>
    <row r="75" spans="1:3" s="73" customFormat="1" ht="18" customHeight="1">
      <c r="A75" s="446" t="s">
        <v>577</v>
      </c>
      <c r="B75" s="80" t="s">
        <v>567</v>
      </c>
      <c r="C75" s="76">
        <v>1.5</v>
      </c>
    </row>
    <row r="76" spans="1:3" s="73" customFormat="1" ht="31.5" customHeight="1">
      <c r="A76" s="445" t="s">
        <v>545</v>
      </c>
      <c r="B76" s="80" t="s">
        <v>275</v>
      </c>
      <c r="C76" s="76">
        <v>2</v>
      </c>
    </row>
    <row r="77" spans="1:3" s="73" customFormat="1" ht="33.75" customHeight="1">
      <c r="A77" s="445" t="s">
        <v>544</v>
      </c>
      <c r="B77" s="80" t="s">
        <v>283</v>
      </c>
      <c r="C77" s="76">
        <v>8</v>
      </c>
    </row>
    <row r="78" spans="1:3" s="73" customFormat="1" ht="36" customHeight="1">
      <c r="A78" s="445" t="s">
        <v>543</v>
      </c>
      <c r="B78" s="80" t="s">
        <v>316</v>
      </c>
      <c r="C78" s="76">
        <v>0.5</v>
      </c>
    </row>
    <row r="79" spans="1:3" s="73" customFormat="1" ht="18" customHeight="1">
      <c r="A79" s="446" t="s">
        <v>578</v>
      </c>
      <c r="B79" s="80" t="s">
        <v>567</v>
      </c>
      <c r="C79" s="76">
        <v>1.5</v>
      </c>
    </row>
    <row r="80" spans="1:3" s="73" customFormat="1" ht="29.25" customHeight="1">
      <c r="A80" s="445" t="s">
        <v>542</v>
      </c>
      <c r="B80" s="80" t="s">
        <v>518</v>
      </c>
      <c r="C80" s="76">
        <v>1.5</v>
      </c>
    </row>
    <row r="81" spans="1:3" s="73" customFormat="1" ht="21.75" customHeight="1">
      <c r="A81" s="445" t="s">
        <v>540</v>
      </c>
      <c r="B81" s="80" t="s">
        <v>541</v>
      </c>
      <c r="C81" s="76">
        <v>0.5</v>
      </c>
    </row>
    <row r="82" spans="1:3" s="73" customFormat="1" ht="21.75" customHeight="1">
      <c r="A82" s="445" t="s">
        <v>539</v>
      </c>
      <c r="B82" s="80" t="s">
        <v>316</v>
      </c>
      <c r="C82" s="76">
        <v>4</v>
      </c>
    </row>
    <row r="83" spans="1:3" s="73" customFormat="1" ht="18" customHeight="1">
      <c r="A83" s="446" t="s">
        <v>579</v>
      </c>
      <c r="B83" s="80" t="s">
        <v>567</v>
      </c>
      <c r="C83" s="76">
        <v>1.5</v>
      </c>
    </row>
    <row r="84" spans="1:3" s="73" customFormat="1" ht="21.75" customHeight="1">
      <c r="A84" s="445" t="s">
        <v>538</v>
      </c>
      <c r="B84" s="80" t="s">
        <v>272</v>
      </c>
      <c r="C84" s="76">
        <v>4</v>
      </c>
    </row>
    <row r="85" spans="1:3" s="73" customFormat="1" ht="21.75" customHeight="1">
      <c r="A85" s="445" t="s">
        <v>536</v>
      </c>
      <c r="B85" s="80" t="s">
        <v>537</v>
      </c>
      <c r="C85" s="76">
        <v>4</v>
      </c>
    </row>
    <row r="86" spans="1:3" s="73" customFormat="1" ht="18" customHeight="1">
      <c r="A86" s="446" t="s">
        <v>580</v>
      </c>
      <c r="B86" s="80" t="s">
        <v>567</v>
      </c>
      <c r="C86" s="76">
        <v>1.5</v>
      </c>
    </row>
    <row r="87" spans="1:3" s="73" customFormat="1" ht="29.25" customHeight="1">
      <c r="A87" s="445" t="s">
        <v>534</v>
      </c>
      <c r="B87" s="80" t="s">
        <v>518</v>
      </c>
      <c r="C87" s="76">
        <v>1</v>
      </c>
    </row>
    <row r="88" spans="1:3" s="73" customFormat="1" ht="18" customHeight="1">
      <c r="A88" s="446" t="s">
        <v>581</v>
      </c>
      <c r="B88" s="80" t="s">
        <v>567</v>
      </c>
      <c r="C88" s="76">
        <v>1.5</v>
      </c>
    </row>
    <row r="89" spans="1:3" s="73" customFormat="1" ht="29.25" customHeight="1">
      <c r="A89" s="445" t="s">
        <v>533</v>
      </c>
      <c r="B89" s="80" t="s">
        <v>518</v>
      </c>
      <c r="C89" s="76">
        <v>1</v>
      </c>
    </row>
    <row r="90" spans="1:3" s="73" customFormat="1" ht="30" customHeight="1">
      <c r="A90" s="445" t="s">
        <v>550</v>
      </c>
      <c r="B90" s="80" t="s">
        <v>316</v>
      </c>
      <c r="C90" s="76">
        <v>2.5</v>
      </c>
    </row>
    <row r="91" spans="1:3" s="73" customFormat="1" ht="18" customHeight="1">
      <c r="A91" s="446" t="s">
        <v>582</v>
      </c>
      <c r="B91" s="80" t="s">
        <v>567</v>
      </c>
      <c r="C91" s="76">
        <v>1.5</v>
      </c>
    </row>
    <row r="92" spans="1:3" s="73" customFormat="1" ht="18" customHeight="1">
      <c r="A92" s="446" t="s">
        <v>583</v>
      </c>
      <c r="B92" s="80" t="s">
        <v>567</v>
      </c>
      <c r="C92" s="76">
        <v>1.5</v>
      </c>
    </row>
    <row r="93" spans="1:3" s="73" customFormat="1" ht="18" customHeight="1">
      <c r="A93" s="446" t="s">
        <v>584</v>
      </c>
      <c r="B93" s="80" t="s">
        <v>567</v>
      </c>
      <c r="C93" s="76">
        <v>1.5</v>
      </c>
    </row>
    <row r="94" spans="1:3" s="73" customFormat="1" ht="30" customHeight="1">
      <c r="A94" s="446" t="s">
        <v>551</v>
      </c>
      <c r="B94" s="80" t="s">
        <v>552</v>
      </c>
      <c r="C94" s="76">
        <v>2</v>
      </c>
    </row>
    <row r="95" spans="1:3" s="73" customFormat="1" ht="30" customHeight="1">
      <c r="A95" s="446" t="s">
        <v>642</v>
      </c>
      <c r="B95" s="80" t="s">
        <v>643</v>
      </c>
      <c r="C95" s="76">
        <v>2</v>
      </c>
    </row>
    <row r="96" spans="1:3" s="73" customFormat="1" ht="30" customHeight="1">
      <c r="A96" s="446" t="s">
        <v>647</v>
      </c>
      <c r="B96" s="80" t="s">
        <v>648</v>
      </c>
      <c r="C96" s="76">
        <v>3</v>
      </c>
    </row>
    <row r="97" spans="1:4" s="73" customFormat="1" ht="30" customHeight="1">
      <c r="A97" s="446" t="s">
        <v>646</v>
      </c>
      <c r="B97" s="80" t="s">
        <v>619</v>
      </c>
      <c r="C97" s="76">
        <v>3</v>
      </c>
    </row>
    <row r="98" spans="1:4">
      <c r="A98" s="456" t="s">
        <v>548</v>
      </c>
      <c r="B98" s="76"/>
      <c r="C98" s="76"/>
    </row>
    <row r="99" spans="1:4">
      <c r="A99" s="124" t="s">
        <v>378</v>
      </c>
      <c r="B99" s="76"/>
      <c r="C99" s="76">
        <v>1.5</v>
      </c>
    </row>
    <row r="100" spans="1:4">
      <c r="A100" s="91" t="s">
        <v>379</v>
      </c>
      <c r="B100" s="76"/>
      <c r="C100" s="76">
        <v>1.5</v>
      </c>
    </row>
    <row r="101" spans="1:4">
      <c r="A101" s="91" t="s">
        <v>390</v>
      </c>
      <c r="B101" s="76" t="s">
        <v>241</v>
      </c>
      <c r="C101" s="76">
        <v>1.5</v>
      </c>
    </row>
    <row r="102" spans="1:4">
      <c r="A102" s="91" t="s">
        <v>391</v>
      </c>
      <c r="B102" s="76" t="s">
        <v>241</v>
      </c>
      <c r="C102" s="76">
        <v>4</v>
      </c>
    </row>
    <row r="103" spans="1:4">
      <c r="A103" s="91" t="s">
        <v>392</v>
      </c>
      <c r="B103" s="76" t="s">
        <v>241</v>
      </c>
      <c r="C103" s="76">
        <v>1.5</v>
      </c>
    </row>
    <row r="104" spans="1:4">
      <c r="A104" s="91" t="s">
        <v>393</v>
      </c>
      <c r="B104" s="76" t="s">
        <v>241</v>
      </c>
      <c r="C104" s="76">
        <v>2</v>
      </c>
    </row>
    <row r="105" spans="1:4">
      <c r="A105" s="91" t="s">
        <v>246</v>
      </c>
      <c r="B105" s="76" t="s">
        <v>241</v>
      </c>
      <c r="C105" s="76">
        <v>1.5</v>
      </c>
    </row>
    <row r="106" spans="1:4">
      <c r="A106" s="463" t="s">
        <v>251</v>
      </c>
      <c r="B106" s="76" t="s">
        <v>241</v>
      </c>
      <c r="C106" s="76">
        <v>1</v>
      </c>
    </row>
    <row r="107" spans="1:4" s="73" customFormat="1">
      <c r="A107" s="91" t="s">
        <v>402</v>
      </c>
      <c r="B107" s="76" t="s">
        <v>241</v>
      </c>
      <c r="C107" s="76">
        <v>1.5</v>
      </c>
    </row>
    <row r="108" spans="1:4" s="73" customFormat="1">
      <c r="A108" s="91" t="s">
        <v>403</v>
      </c>
      <c r="B108" s="76" t="s">
        <v>241</v>
      </c>
      <c r="C108" s="76">
        <v>1</v>
      </c>
    </row>
    <row r="109" spans="1:4" s="73" customFormat="1">
      <c r="A109" s="91" t="s">
        <v>405</v>
      </c>
      <c r="B109" s="76" t="s">
        <v>241</v>
      </c>
      <c r="C109" s="76">
        <v>1</v>
      </c>
    </row>
    <row r="110" spans="1:4" s="73" customFormat="1">
      <c r="A110" s="91" t="s">
        <v>406</v>
      </c>
      <c r="B110" s="76" t="s">
        <v>241</v>
      </c>
      <c r="C110" s="76">
        <v>1</v>
      </c>
      <c r="D110" s="73">
        <v>97</v>
      </c>
    </row>
    <row r="111" spans="1:4" s="73" customFormat="1" ht="28.5">
      <c r="A111" s="91" t="s">
        <v>528</v>
      </c>
      <c r="B111" s="76" t="s">
        <v>241</v>
      </c>
      <c r="C111" s="76">
        <v>1</v>
      </c>
    </row>
    <row r="112" spans="1:4" s="73" customFormat="1" ht="28.5">
      <c r="A112" s="91" t="s">
        <v>535</v>
      </c>
      <c r="B112" s="76" t="s">
        <v>241</v>
      </c>
      <c r="C112" s="76">
        <v>1.5</v>
      </c>
    </row>
    <row r="113" spans="1:255" s="73" customFormat="1" ht="28.5">
      <c r="A113" s="91" t="s">
        <v>645</v>
      </c>
      <c r="B113" s="76" t="s">
        <v>241</v>
      </c>
      <c r="C113" s="76">
        <v>1</v>
      </c>
    </row>
    <row r="114" spans="1:255" s="73" customFormat="1" ht="28.5">
      <c r="A114" s="124" t="s">
        <v>644</v>
      </c>
      <c r="B114" s="79" t="s">
        <v>241</v>
      </c>
      <c r="C114" s="79">
        <v>1</v>
      </c>
    </row>
    <row r="115" spans="1:255">
      <c r="A115" s="470" t="s">
        <v>522</v>
      </c>
      <c r="B115" s="76"/>
      <c r="C115" s="76">
        <f>SUM(C6:C114)</f>
        <v>295.65000000000003</v>
      </c>
    </row>
    <row r="116" spans="1:255" s="55" customFormat="1">
      <c r="A116" s="175"/>
      <c r="B116" s="74"/>
      <c r="C116" s="86"/>
    </row>
    <row r="118" spans="1:255" s="179" customFormat="1" ht="43.5" customHeight="1">
      <c r="A118" s="447" t="s">
        <v>1615</v>
      </c>
      <c r="IU118"/>
    </row>
    <row r="119" spans="1:255">
      <c r="A119" s="180" t="s">
        <v>650</v>
      </c>
      <c r="B119" s="179"/>
      <c r="C119" s="196">
        <v>782.2</v>
      </c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9"/>
      <c r="BW119" s="179"/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  <c r="CH119" s="179"/>
      <c r="CI119" s="179"/>
      <c r="CJ119" s="179"/>
      <c r="CK119" s="179"/>
      <c r="CL119" s="179"/>
      <c r="CM119" s="179"/>
      <c r="CN119" s="179"/>
      <c r="CO119" s="179"/>
      <c r="CP119" s="179"/>
      <c r="CQ119" s="179"/>
      <c r="CR119" s="179"/>
      <c r="CS119" s="179"/>
      <c r="CT119" s="179"/>
      <c r="CU119" s="179"/>
      <c r="CV119" s="179"/>
      <c r="CW119" s="179"/>
      <c r="CX119" s="179"/>
      <c r="CY119" s="179"/>
      <c r="CZ119" s="179"/>
      <c r="DA119" s="179"/>
      <c r="DB119" s="179"/>
      <c r="DC119" s="179"/>
      <c r="DD119" s="179"/>
      <c r="DE119" s="179"/>
      <c r="DF119" s="179"/>
      <c r="DG119" s="179"/>
      <c r="DH119" s="179"/>
      <c r="DI119" s="179"/>
      <c r="DJ119" s="179"/>
      <c r="DK119" s="179"/>
      <c r="DL119" s="179"/>
      <c r="DM119" s="179"/>
      <c r="DN119" s="179"/>
      <c r="DO119" s="179"/>
      <c r="DP119" s="179"/>
      <c r="DQ119" s="179"/>
      <c r="DR119" s="179"/>
      <c r="DS119" s="179"/>
      <c r="DT119" s="179"/>
      <c r="DU119" s="179"/>
      <c r="DV119" s="179"/>
      <c r="DW119" s="179"/>
      <c r="DX119" s="179"/>
      <c r="DY119" s="179"/>
      <c r="DZ119" s="179"/>
      <c r="EA119" s="179"/>
      <c r="EB119" s="179"/>
      <c r="EC119" s="179"/>
      <c r="ED119" s="179"/>
      <c r="EE119" s="179"/>
      <c r="EF119" s="179"/>
      <c r="EG119" s="179"/>
      <c r="EH119" s="179"/>
      <c r="EI119" s="179"/>
      <c r="EJ119" s="179"/>
      <c r="EK119" s="179"/>
      <c r="EL119" s="179"/>
      <c r="EM119" s="179"/>
      <c r="EN119" s="179"/>
      <c r="EO119" s="179"/>
      <c r="EP119" s="179"/>
      <c r="EQ119" s="179"/>
      <c r="ER119" s="179"/>
      <c r="ES119" s="179"/>
      <c r="ET119" s="179"/>
      <c r="EU119" s="179"/>
      <c r="EV119" s="179"/>
      <c r="EW119" s="179"/>
      <c r="EX119" s="179"/>
      <c r="EY119" s="179"/>
      <c r="EZ119" s="179"/>
      <c r="FA119" s="179"/>
      <c r="FB119" s="179"/>
      <c r="FC119" s="179"/>
      <c r="FD119" s="179"/>
      <c r="FE119" s="179"/>
      <c r="FF119" s="179"/>
      <c r="FG119" s="179"/>
      <c r="FH119" s="179"/>
      <c r="FI119" s="179"/>
      <c r="FJ119" s="179"/>
      <c r="FK119" s="179"/>
      <c r="FL119" s="179"/>
      <c r="FM119" s="179"/>
      <c r="FN119" s="179"/>
      <c r="FO119" s="179"/>
      <c r="FP119" s="179"/>
      <c r="FQ119" s="179"/>
      <c r="FR119" s="179"/>
      <c r="FS119" s="179"/>
      <c r="FT119" s="179"/>
      <c r="FU119" s="179"/>
      <c r="FV119" s="179"/>
      <c r="FW119" s="179"/>
      <c r="FX119" s="179"/>
      <c r="FY119" s="179"/>
      <c r="FZ119" s="179"/>
      <c r="GA119" s="179"/>
      <c r="GB119" s="179"/>
      <c r="GC119" s="179"/>
      <c r="GD119" s="179"/>
      <c r="GE119" s="179"/>
      <c r="GF119" s="179"/>
      <c r="GG119" s="179"/>
      <c r="GH119" s="179"/>
      <c r="GI119" s="179"/>
      <c r="GJ119" s="179"/>
      <c r="GK119" s="179"/>
      <c r="GL119" s="179"/>
      <c r="GM119" s="179"/>
      <c r="GN119" s="179"/>
      <c r="GO119" s="179"/>
      <c r="GP119" s="179"/>
      <c r="GQ119" s="179"/>
      <c r="GR119" s="179"/>
      <c r="GS119" s="179"/>
      <c r="GT119" s="179"/>
      <c r="GU119" s="179"/>
      <c r="GV119" s="179"/>
      <c r="GW119" s="179"/>
      <c r="GX119" s="179"/>
      <c r="GY119" s="179"/>
      <c r="GZ119" s="179"/>
      <c r="HA119" s="179"/>
      <c r="HB119" s="179"/>
      <c r="HC119" s="179"/>
      <c r="HD119" s="179"/>
      <c r="HE119" s="179"/>
      <c r="HF119" s="179"/>
      <c r="HG119" s="179"/>
      <c r="HH119" s="179"/>
      <c r="HI119" s="179"/>
      <c r="HJ119" s="179"/>
      <c r="HK119" s="179"/>
      <c r="HL119" s="179"/>
      <c r="HM119" s="179"/>
      <c r="HN119" s="179"/>
      <c r="HO119" s="179"/>
      <c r="HP119" s="179"/>
      <c r="HQ119" s="179"/>
      <c r="HR119" s="179"/>
      <c r="HS119" s="179"/>
      <c r="HT119" s="179"/>
      <c r="HU119" s="179"/>
      <c r="HV119" s="179"/>
      <c r="HW119" s="179"/>
      <c r="HX119" s="179"/>
      <c r="HY119" s="179"/>
      <c r="HZ119" s="179"/>
      <c r="IA119" s="179"/>
      <c r="IB119" s="179"/>
      <c r="IC119" s="179"/>
      <c r="ID119" s="179"/>
      <c r="IE119" s="179"/>
      <c r="IF119" s="179"/>
      <c r="IG119" s="179"/>
      <c r="IH119" s="179"/>
      <c r="II119" s="179"/>
      <c r="IJ119" s="179"/>
      <c r="IK119" s="179"/>
      <c r="IL119" s="179"/>
      <c r="IM119" s="179"/>
      <c r="IN119" s="179"/>
      <c r="IO119" s="179"/>
      <c r="IP119" s="179"/>
      <c r="IQ119" s="179"/>
      <c r="IR119" s="179"/>
      <c r="IS119" s="179"/>
      <c r="IT119" s="179"/>
    </row>
    <row r="120" spans="1:255">
      <c r="A120" s="180" t="s">
        <v>594</v>
      </c>
      <c r="B120" s="179"/>
      <c r="C120" s="196">
        <v>27.8</v>
      </c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9"/>
      <c r="BW120" s="179"/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9"/>
      <c r="CO120" s="179"/>
      <c r="CP120" s="179"/>
      <c r="CQ120" s="179"/>
      <c r="CR120" s="179"/>
      <c r="CS120" s="179"/>
      <c r="CT120" s="179"/>
      <c r="CU120" s="179"/>
      <c r="CV120" s="179"/>
      <c r="CW120" s="179"/>
      <c r="CX120" s="179"/>
      <c r="CY120" s="179"/>
      <c r="CZ120" s="179"/>
      <c r="DA120" s="179"/>
      <c r="DB120" s="179"/>
      <c r="DC120" s="179"/>
      <c r="DD120" s="179"/>
      <c r="DE120" s="179"/>
      <c r="DF120" s="179"/>
      <c r="DG120" s="179"/>
      <c r="DH120" s="179"/>
      <c r="DI120" s="179"/>
      <c r="DJ120" s="179"/>
      <c r="DK120" s="179"/>
      <c r="DL120" s="179"/>
      <c r="DM120" s="179"/>
      <c r="DN120" s="179"/>
      <c r="DO120" s="179"/>
      <c r="DP120" s="179"/>
      <c r="DQ120" s="179"/>
      <c r="DR120" s="179"/>
      <c r="DS120" s="179"/>
      <c r="DT120" s="179"/>
      <c r="DU120" s="179"/>
      <c r="DV120" s="179"/>
      <c r="DW120" s="179"/>
      <c r="DX120" s="179"/>
      <c r="DY120" s="179"/>
      <c r="DZ120" s="179"/>
      <c r="EA120" s="179"/>
      <c r="EB120" s="179"/>
      <c r="EC120" s="179"/>
      <c r="ED120" s="179"/>
      <c r="EE120" s="179"/>
      <c r="EF120" s="179"/>
      <c r="EG120" s="179"/>
      <c r="EH120" s="179"/>
      <c r="EI120" s="179"/>
      <c r="EJ120" s="179"/>
      <c r="EK120" s="179"/>
      <c r="EL120" s="179"/>
      <c r="EM120" s="179"/>
      <c r="EN120" s="179"/>
      <c r="EO120" s="179"/>
      <c r="EP120" s="179"/>
      <c r="EQ120" s="179"/>
      <c r="ER120" s="179"/>
      <c r="ES120" s="179"/>
      <c r="ET120" s="179"/>
      <c r="EU120" s="179"/>
      <c r="EV120" s="179"/>
      <c r="EW120" s="179"/>
      <c r="EX120" s="179"/>
      <c r="EY120" s="179"/>
      <c r="EZ120" s="179"/>
      <c r="FA120" s="179"/>
      <c r="FB120" s="179"/>
      <c r="FC120" s="179"/>
      <c r="FD120" s="179"/>
      <c r="FE120" s="179"/>
      <c r="FF120" s="179"/>
      <c r="FG120" s="179"/>
      <c r="FH120" s="179"/>
      <c r="FI120" s="179"/>
      <c r="FJ120" s="179"/>
      <c r="FK120" s="179"/>
      <c r="FL120" s="179"/>
      <c r="FM120" s="179"/>
      <c r="FN120" s="179"/>
      <c r="FO120" s="179"/>
      <c r="FP120" s="179"/>
      <c r="FQ120" s="179"/>
      <c r="FR120" s="179"/>
      <c r="FS120" s="179"/>
      <c r="FT120" s="179"/>
      <c r="FU120" s="179"/>
      <c r="FV120" s="179"/>
      <c r="FW120" s="179"/>
      <c r="FX120" s="179"/>
      <c r="FY120" s="179"/>
      <c r="FZ120" s="179"/>
      <c r="GA120" s="179"/>
      <c r="GB120" s="179"/>
      <c r="GC120" s="179"/>
      <c r="GD120" s="179"/>
      <c r="GE120" s="179"/>
      <c r="GF120" s="179"/>
      <c r="GG120" s="179"/>
      <c r="GH120" s="179"/>
      <c r="GI120" s="179"/>
      <c r="GJ120" s="179"/>
      <c r="GK120" s="179"/>
      <c r="GL120" s="179"/>
      <c r="GM120" s="179"/>
      <c r="GN120" s="179"/>
      <c r="GO120" s="179"/>
      <c r="GP120" s="179"/>
      <c r="GQ120" s="179"/>
      <c r="GR120" s="179"/>
      <c r="GS120" s="179"/>
      <c r="GT120" s="179"/>
      <c r="GU120" s="179"/>
      <c r="GV120" s="179"/>
      <c r="GW120" s="179"/>
      <c r="GX120" s="179"/>
      <c r="GY120" s="179"/>
      <c r="GZ120" s="179"/>
      <c r="HA120" s="179"/>
      <c r="HB120" s="179"/>
      <c r="HC120" s="179"/>
      <c r="HD120" s="179"/>
      <c r="HE120" s="179"/>
      <c r="HF120" s="179"/>
      <c r="HG120" s="179"/>
      <c r="HH120" s="179"/>
      <c r="HI120" s="179"/>
      <c r="HJ120" s="179"/>
      <c r="HK120" s="179"/>
      <c r="HL120" s="179"/>
      <c r="HM120" s="179"/>
      <c r="HN120" s="179"/>
      <c r="HO120" s="179"/>
      <c r="HP120" s="179"/>
      <c r="HQ120" s="179"/>
      <c r="HR120" s="179"/>
      <c r="HS120" s="179"/>
      <c r="HT120" s="179"/>
      <c r="HU120" s="179"/>
      <c r="HV120" s="179"/>
      <c r="HW120" s="179"/>
      <c r="HX120" s="179"/>
      <c r="HY120" s="179"/>
      <c r="HZ120" s="179"/>
      <c r="IA120" s="179"/>
      <c r="IB120" s="179"/>
      <c r="IC120" s="179"/>
      <c r="ID120" s="179"/>
      <c r="IE120" s="179"/>
      <c r="IF120" s="179"/>
      <c r="IG120" s="179"/>
      <c r="IH120" s="179"/>
      <c r="II120" s="179"/>
      <c r="IJ120" s="179"/>
      <c r="IK120" s="179"/>
      <c r="IL120" s="179"/>
      <c r="IM120" s="179"/>
      <c r="IN120" s="179"/>
      <c r="IO120" s="179"/>
      <c r="IP120" s="179"/>
      <c r="IQ120" s="179"/>
      <c r="IR120" s="179"/>
      <c r="IS120" s="179"/>
      <c r="IT120" s="179"/>
    </row>
    <row r="121" spans="1:255" s="73" customFormat="1">
      <c r="A121" s="193" t="s">
        <v>711</v>
      </c>
      <c r="B121" s="230"/>
      <c r="C121" s="193">
        <v>32847.14</v>
      </c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0"/>
      <c r="BY121" s="230"/>
      <c r="BZ121" s="230"/>
      <c r="CA121" s="230"/>
      <c r="CB121" s="230"/>
      <c r="CC121" s="230"/>
      <c r="CD121" s="230"/>
      <c r="CE121" s="230"/>
      <c r="CF121" s="230"/>
      <c r="CG121" s="230"/>
      <c r="CH121" s="230"/>
      <c r="CI121" s="230"/>
      <c r="CJ121" s="230"/>
      <c r="CK121" s="230"/>
      <c r="CL121" s="230"/>
      <c r="CM121" s="230"/>
      <c r="CN121" s="230"/>
      <c r="CO121" s="230"/>
      <c r="CP121" s="230"/>
      <c r="CQ121" s="230"/>
      <c r="CR121" s="230"/>
      <c r="CS121" s="230"/>
      <c r="CT121" s="230"/>
      <c r="CU121" s="230"/>
      <c r="CV121" s="230"/>
      <c r="CW121" s="230"/>
      <c r="CX121" s="230"/>
      <c r="CY121" s="230"/>
      <c r="CZ121" s="230"/>
      <c r="DA121" s="230"/>
      <c r="DB121" s="230"/>
      <c r="DC121" s="230"/>
      <c r="DD121" s="230"/>
      <c r="DE121" s="230"/>
      <c r="DF121" s="230"/>
      <c r="DG121" s="230"/>
      <c r="DH121" s="230"/>
      <c r="DI121" s="230"/>
      <c r="DJ121" s="230"/>
      <c r="DK121" s="230"/>
      <c r="DL121" s="230"/>
      <c r="DM121" s="230"/>
      <c r="DN121" s="230"/>
      <c r="DO121" s="230"/>
      <c r="DP121" s="230"/>
      <c r="DQ121" s="230"/>
      <c r="DR121" s="230"/>
      <c r="DS121" s="230"/>
      <c r="DT121" s="230"/>
      <c r="DU121" s="230"/>
      <c r="DV121" s="230"/>
      <c r="DW121" s="230"/>
      <c r="DX121" s="230"/>
      <c r="DY121" s="230"/>
      <c r="DZ121" s="230"/>
      <c r="EA121" s="230"/>
      <c r="EB121" s="230"/>
      <c r="EC121" s="230"/>
      <c r="ED121" s="230"/>
      <c r="EE121" s="230"/>
      <c r="EF121" s="230"/>
      <c r="EG121" s="230"/>
      <c r="EH121" s="230"/>
      <c r="EI121" s="230"/>
      <c r="EJ121" s="230"/>
      <c r="EK121" s="230"/>
      <c r="EL121" s="230"/>
      <c r="EM121" s="230"/>
      <c r="EN121" s="230"/>
      <c r="EO121" s="230"/>
      <c r="EP121" s="230"/>
      <c r="EQ121" s="230"/>
      <c r="ER121" s="230"/>
      <c r="ES121" s="230"/>
      <c r="ET121" s="230"/>
      <c r="EU121" s="230"/>
      <c r="EV121" s="230"/>
      <c r="EW121" s="230"/>
      <c r="EX121" s="230"/>
      <c r="EY121" s="230"/>
      <c r="EZ121" s="230"/>
      <c r="FA121" s="230"/>
      <c r="FB121" s="230"/>
      <c r="FC121" s="230"/>
      <c r="FD121" s="230"/>
      <c r="FE121" s="230"/>
      <c r="FF121" s="230"/>
      <c r="FG121" s="230"/>
      <c r="FH121" s="230"/>
      <c r="FI121" s="230"/>
      <c r="FJ121" s="230"/>
      <c r="FK121" s="230"/>
      <c r="FL121" s="230"/>
      <c r="FM121" s="230"/>
      <c r="FN121" s="230"/>
      <c r="FO121" s="230"/>
      <c r="FP121" s="230"/>
      <c r="FQ121" s="230"/>
      <c r="FR121" s="230"/>
      <c r="FS121" s="230"/>
      <c r="FT121" s="230"/>
      <c r="FU121" s="230"/>
      <c r="FV121" s="230"/>
      <c r="FW121" s="230"/>
      <c r="FX121" s="230"/>
      <c r="FY121" s="230"/>
      <c r="FZ121" s="230"/>
      <c r="GA121" s="230"/>
      <c r="GB121" s="230"/>
      <c r="GC121" s="230"/>
      <c r="GD121" s="230"/>
      <c r="GE121" s="230"/>
      <c r="GF121" s="230"/>
      <c r="GG121" s="230"/>
      <c r="GH121" s="230"/>
      <c r="GI121" s="230"/>
      <c r="GJ121" s="230"/>
      <c r="GK121" s="230"/>
      <c r="GL121" s="230"/>
      <c r="GM121" s="230"/>
      <c r="GN121" s="230"/>
      <c r="GO121" s="230"/>
      <c r="GP121" s="230"/>
      <c r="GQ121" s="230"/>
      <c r="GR121" s="230"/>
      <c r="GS121" s="230"/>
      <c r="GT121" s="230"/>
      <c r="GU121" s="230"/>
      <c r="GV121" s="230"/>
      <c r="GW121" s="230"/>
      <c r="GX121" s="230"/>
      <c r="GY121" s="230"/>
      <c r="GZ121" s="230"/>
      <c r="HA121" s="230"/>
      <c r="HB121" s="230"/>
      <c r="HC121" s="230"/>
      <c r="HD121" s="230"/>
      <c r="HE121" s="230"/>
      <c r="HF121" s="230"/>
      <c r="HG121" s="230"/>
      <c r="HH121" s="230"/>
      <c r="HI121" s="230"/>
      <c r="HJ121" s="230"/>
      <c r="HK121" s="230"/>
      <c r="HL121" s="230"/>
      <c r="HM121" s="230"/>
      <c r="HN121" s="230"/>
      <c r="HO121" s="230"/>
      <c r="HP121" s="230"/>
      <c r="HQ121" s="230"/>
      <c r="HR121" s="230"/>
      <c r="HS121" s="230"/>
      <c r="HT121" s="230"/>
      <c r="HU121" s="230"/>
      <c r="HV121" s="230"/>
      <c r="HW121" s="230"/>
      <c r="HX121" s="230"/>
      <c r="HY121" s="230"/>
      <c r="HZ121" s="230"/>
      <c r="IA121" s="230"/>
      <c r="IB121" s="230"/>
      <c r="IC121" s="230"/>
      <c r="ID121" s="230"/>
      <c r="IE121" s="230"/>
      <c r="IF121" s="230"/>
      <c r="IG121" s="230"/>
      <c r="IH121" s="230"/>
      <c r="II121" s="230"/>
      <c r="IJ121" s="230"/>
      <c r="IK121" s="230"/>
      <c r="IL121" s="230"/>
      <c r="IM121" s="230"/>
      <c r="IN121" s="230"/>
      <c r="IO121" s="230"/>
      <c r="IP121" s="230"/>
      <c r="IQ121" s="230"/>
      <c r="IR121" s="230"/>
      <c r="IS121" s="230"/>
      <c r="IT121" s="230"/>
    </row>
    <row r="122" spans="1:255" s="73" customFormat="1">
      <c r="A122" s="193" t="s">
        <v>1607</v>
      </c>
      <c r="B122" s="230"/>
      <c r="C122" s="193">
        <v>260941.92</v>
      </c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/>
      <c r="BY122" s="230"/>
      <c r="BZ122" s="230"/>
      <c r="CA122" s="230"/>
      <c r="CB122" s="230"/>
      <c r="CC122" s="230"/>
      <c r="CD122" s="230"/>
      <c r="CE122" s="230"/>
      <c r="CF122" s="230"/>
      <c r="CG122" s="230"/>
      <c r="CH122" s="230"/>
      <c r="CI122" s="230"/>
      <c r="CJ122" s="230"/>
      <c r="CK122" s="230"/>
      <c r="CL122" s="230"/>
      <c r="CM122" s="230"/>
      <c r="CN122" s="230"/>
      <c r="CO122" s="230"/>
      <c r="CP122" s="230"/>
      <c r="CQ122" s="230"/>
      <c r="CR122" s="230"/>
      <c r="CS122" s="230"/>
      <c r="CT122" s="230"/>
      <c r="CU122" s="230"/>
      <c r="CV122" s="230"/>
      <c r="CW122" s="230"/>
      <c r="CX122" s="230"/>
      <c r="CY122" s="230"/>
      <c r="CZ122" s="230"/>
      <c r="DA122" s="230"/>
      <c r="DB122" s="230"/>
      <c r="DC122" s="230"/>
      <c r="DD122" s="230"/>
      <c r="DE122" s="230"/>
      <c r="DF122" s="230"/>
      <c r="DG122" s="230"/>
      <c r="DH122" s="230"/>
      <c r="DI122" s="230"/>
      <c r="DJ122" s="230"/>
      <c r="DK122" s="230"/>
      <c r="DL122" s="230"/>
      <c r="DM122" s="230"/>
      <c r="DN122" s="230"/>
      <c r="DO122" s="230"/>
      <c r="DP122" s="230"/>
      <c r="DQ122" s="230"/>
      <c r="DR122" s="230"/>
      <c r="DS122" s="230"/>
      <c r="DT122" s="230"/>
      <c r="DU122" s="230"/>
      <c r="DV122" s="230"/>
      <c r="DW122" s="230"/>
      <c r="DX122" s="230"/>
      <c r="DY122" s="230"/>
      <c r="DZ122" s="230"/>
      <c r="EA122" s="230"/>
      <c r="EB122" s="230"/>
      <c r="EC122" s="230"/>
      <c r="ED122" s="230"/>
      <c r="EE122" s="230"/>
      <c r="EF122" s="230"/>
      <c r="EG122" s="230"/>
      <c r="EH122" s="230"/>
      <c r="EI122" s="230"/>
      <c r="EJ122" s="230"/>
      <c r="EK122" s="230"/>
      <c r="EL122" s="230"/>
      <c r="EM122" s="230"/>
      <c r="EN122" s="230"/>
      <c r="EO122" s="230"/>
      <c r="EP122" s="230"/>
      <c r="EQ122" s="230"/>
      <c r="ER122" s="230"/>
      <c r="ES122" s="230"/>
      <c r="ET122" s="230"/>
      <c r="EU122" s="230"/>
      <c r="EV122" s="230"/>
      <c r="EW122" s="230"/>
      <c r="EX122" s="230"/>
      <c r="EY122" s="230"/>
      <c r="EZ122" s="230"/>
      <c r="FA122" s="230"/>
      <c r="FB122" s="230"/>
      <c r="FC122" s="230"/>
      <c r="FD122" s="230"/>
      <c r="FE122" s="230"/>
      <c r="FF122" s="230"/>
      <c r="FG122" s="230"/>
      <c r="FH122" s="230"/>
      <c r="FI122" s="230"/>
      <c r="FJ122" s="230"/>
      <c r="FK122" s="230"/>
      <c r="FL122" s="230"/>
      <c r="FM122" s="230"/>
      <c r="FN122" s="230"/>
      <c r="FO122" s="230"/>
      <c r="FP122" s="230"/>
      <c r="FQ122" s="230"/>
      <c r="FR122" s="230"/>
      <c r="FS122" s="230"/>
      <c r="FT122" s="230"/>
      <c r="FU122" s="230"/>
      <c r="FV122" s="230"/>
      <c r="FW122" s="230"/>
      <c r="FX122" s="230"/>
      <c r="FY122" s="230"/>
      <c r="FZ122" s="230"/>
      <c r="GA122" s="230"/>
      <c r="GB122" s="230"/>
      <c r="GC122" s="230"/>
      <c r="GD122" s="230"/>
      <c r="GE122" s="230"/>
      <c r="GF122" s="230"/>
      <c r="GG122" s="230"/>
      <c r="GH122" s="230"/>
      <c r="GI122" s="230"/>
      <c r="GJ122" s="230"/>
      <c r="GK122" s="230"/>
      <c r="GL122" s="230"/>
      <c r="GM122" s="230"/>
      <c r="GN122" s="230"/>
      <c r="GO122" s="230"/>
      <c r="GP122" s="230"/>
      <c r="GQ122" s="230"/>
      <c r="GR122" s="230"/>
      <c r="GS122" s="230"/>
      <c r="GT122" s="230"/>
      <c r="GU122" s="230"/>
      <c r="GV122" s="230"/>
      <c r="GW122" s="230"/>
      <c r="GX122" s="230"/>
      <c r="GY122" s="230"/>
      <c r="GZ122" s="230"/>
      <c r="HA122" s="230"/>
      <c r="HB122" s="230"/>
      <c r="HC122" s="230"/>
      <c r="HD122" s="230"/>
      <c r="HE122" s="230"/>
      <c r="HF122" s="230"/>
      <c r="HG122" s="230"/>
      <c r="HH122" s="230"/>
      <c r="HI122" s="230"/>
      <c r="HJ122" s="230"/>
      <c r="HK122" s="230"/>
      <c r="HL122" s="230"/>
      <c r="HM122" s="230"/>
      <c r="HN122" s="230"/>
      <c r="HO122" s="230"/>
      <c r="HP122" s="230"/>
      <c r="HQ122" s="230"/>
      <c r="HR122" s="230"/>
      <c r="HS122" s="230"/>
      <c r="HT122" s="230"/>
      <c r="HU122" s="230"/>
      <c r="HV122" s="230"/>
      <c r="HW122" s="230"/>
      <c r="HX122" s="230"/>
      <c r="HY122" s="230"/>
      <c r="HZ122" s="230"/>
      <c r="IA122" s="230"/>
      <c r="IB122" s="230"/>
      <c r="IC122" s="230"/>
      <c r="ID122" s="230"/>
      <c r="IE122" s="230"/>
      <c r="IF122" s="230"/>
      <c r="IG122" s="230"/>
      <c r="IH122" s="230"/>
      <c r="II122" s="230"/>
      <c r="IJ122" s="230"/>
      <c r="IK122" s="230"/>
      <c r="IL122" s="230"/>
      <c r="IM122" s="230"/>
      <c r="IN122" s="230"/>
      <c r="IO122" s="230"/>
      <c r="IP122" s="230"/>
      <c r="IQ122" s="230"/>
      <c r="IR122" s="230"/>
      <c r="IS122" s="230"/>
      <c r="IT122" s="230"/>
    </row>
    <row r="123" spans="1:255" s="73" customFormat="1">
      <c r="A123" s="193" t="s">
        <v>1608</v>
      </c>
      <c r="B123" s="230"/>
      <c r="C123" s="193">
        <f>828+901.42</f>
        <v>1729.42</v>
      </c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  <c r="CF123" s="230"/>
      <c r="CG123" s="230"/>
      <c r="CH123" s="230"/>
      <c r="CI123" s="230"/>
      <c r="CJ123" s="230"/>
      <c r="CK123" s="230"/>
      <c r="CL123" s="230"/>
      <c r="CM123" s="230"/>
      <c r="CN123" s="230"/>
      <c r="CO123" s="230"/>
      <c r="CP123" s="230"/>
      <c r="CQ123" s="230"/>
      <c r="CR123" s="230"/>
      <c r="CS123" s="230"/>
      <c r="CT123" s="230"/>
      <c r="CU123" s="230"/>
      <c r="CV123" s="230"/>
      <c r="CW123" s="230"/>
      <c r="CX123" s="230"/>
      <c r="CY123" s="230"/>
      <c r="CZ123" s="230"/>
      <c r="DA123" s="230"/>
      <c r="DB123" s="230"/>
      <c r="DC123" s="230"/>
      <c r="DD123" s="230"/>
      <c r="DE123" s="230"/>
      <c r="DF123" s="230"/>
      <c r="DG123" s="230"/>
      <c r="DH123" s="230"/>
      <c r="DI123" s="230"/>
      <c r="DJ123" s="230"/>
      <c r="DK123" s="230"/>
      <c r="DL123" s="230"/>
      <c r="DM123" s="230"/>
      <c r="DN123" s="230"/>
      <c r="DO123" s="230"/>
      <c r="DP123" s="230"/>
      <c r="DQ123" s="230"/>
      <c r="DR123" s="230"/>
      <c r="DS123" s="230"/>
      <c r="DT123" s="230"/>
      <c r="DU123" s="230"/>
      <c r="DV123" s="230"/>
      <c r="DW123" s="230"/>
      <c r="DX123" s="230"/>
      <c r="DY123" s="230"/>
      <c r="DZ123" s="230"/>
      <c r="EA123" s="230"/>
      <c r="EB123" s="230"/>
      <c r="EC123" s="230"/>
      <c r="ED123" s="230"/>
      <c r="EE123" s="230"/>
      <c r="EF123" s="230"/>
      <c r="EG123" s="230"/>
      <c r="EH123" s="230"/>
      <c r="EI123" s="230"/>
      <c r="EJ123" s="230"/>
      <c r="EK123" s="230"/>
      <c r="EL123" s="230"/>
      <c r="EM123" s="230"/>
      <c r="EN123" s="230"/>
      <c r="EO123" s="230"/>
      <c r="EP123" s="230"/>
      <c r="EQ123" s="230"/>
      <c r="ER123" s="230"/>
      <c r="ES123" s="230"/>
      <c r="ET123" s="230"/>
      <c r="EU123" s="230"/>
      <c r="EV123" s="230"/>
      <c r="EW123" s="230"/>
      <c r="EX123" s="230"/>
      <c r="EY123" s="230"/>
      <c r="EZ123" s="230"/>
      <c r="FA123" s="230"/>
      <c r="FB123" s="230"/>
      <c r="FC123" s="230"/>
      <c r="FD123" s="230"/>
      <c r="FE123" s="230"/>
      <c r="FF123" s="230"/>
      <c r="FG123" s="230"/>
      <c r="FH123" s="230"/>
      <c r="FI123" s="230"/>
      <c r="FJ123" s="230"/>
      <c r="FK123" s="230"/>
      <c r="FL123" s="230"/>
      <c r="FM123" s="230"/>
      <c r="FN123" s="230"/>
      <c r="FO123" s="230"/>
      <c r="FP123" s="230"/>
      <c r="FQ123" s="230"/>
      <c r="FR123" s="230"/>
      <c r="FS123" s="230"/>
      <c r="FT123" s="230"/>
      <c r="FU123" s="230"/>
      <c r="FV123" s="230"/>
      <c r="FW123" s="230"/>
      <c r="FX123" s="230"/>
      <c r="FY123" s="230"/>
      <c r="FZ123" s="230"/>
      <c r="GA123" s="230"/>
      <c r="GB123" s="230"/>
      <c r="GC123" s="230"/>
      <c r="GD123" s="230"/>
      <c r="GE123" s="230"/>
      <c r="GF123" s="230"/>
      <c r="GG123" s="230"/>
      <c r="GH123" s="230"/>
      <c r="GI123" s="230"/>
      <c r="GJ123" s="230"/>
      <c r="GK123" s="230"/>
      <c r="GL123" s="230"/>
      <c r="GM123" s="230"/>
      <c r="GN123" s="230"/>
      <c r="GO123" s="230"/>
      <c r="GP123" s="230"/>
      <c r="GQ123" s="230"/>
      <c r="GR123" s="230"/>
      <c r="GS123" s="230"/>
      <c r="GT123" s="230"/>
      <c r="GU123" s="230"/>
      <c r="GV123" s="230"/>
      <c r="GW123" s="230"/>
      <c r="GX123" s="230"/>
      <c r="GY123" s="230"/>
      <c r="GZ123" s="230"/>
      <c r="HA123" s="230"/>
      <c r="HB123" s="230"/>
      <c r="HC123" s="230"/>
      <c r="HD123" s="230"/>
      <c r="HE123" s="230"/>
      <c r="HF123" s="230"/>
      <c r="HG123" s="230"/>
      <c r="HH123" s="230"/>
      <c r="HI123" s="230"/>
      <c r="HJ123" s="230"/>
      <c r="HK123" s="230"/>
      <c r="HL123" s="230"/>
      <c r="HM123" s="230"/>
      <c r="HN123" s="230"/>
      <c r="HO123" s="230"/>
      <c r="HP123" s="230"/>
      <c r="HQ123" s="230"/>
      <c r="HR123" s="230"/>
      <c r="HS123" s="230"/>
      <c r="HT123" s="230"/>
      <c r="HU123" s="230"/>
      <c r="HV123" s="230"/>
      <c r="HW123" s="230"/>
      <c r="HX123" s="230"/>
      <c r="HY123" s="230"/>
      <c r="HZ123" s="230"/>
      <c r="IA123" s="230"/>
      <c r="IB123" s="230"/>
      <c r="IC123" s="230"/>
      <c r="ID123" s="230"/>
      <c r="IE123" s="230"/>
      <c r="IF123" s="230"/>
      <c r="IG123" s="230"/>
      <c r="IH123" s="230"/>
      <c r="II123" s="230"/>
      <c r="IJ123" s="230"/>
      <c r="IK123" s="230"/>
      <c r="IL123" s="230"/>
      <c r="IM123" s="230"/>
      <c r="IN123" s="230"/>
      <c r="IO123" s="230"/>
      <c r="IP123" s="230"/>
      <c r="IQ123" s="230"/>
      <c r="IR123" s="230"/>
      <c r="IS123" s="230"/>
      <c r="IT123" s="230"/>
    </row>
    <row r="124" spans="1:255" s="73" customFormat="1">
      <c r="A124" s="193" t="s">
        <v>1619</v>
      </c>
      <c r="B124" s="230"/>
      <c r="C124" s="193">
        <v>4849.6400000000003</v>
      </c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0"/>
      <c r="AH124" s="230"/>
      <c r="AI124" s="230"/>
      <c r="AJ124" s="230"/>
      <c r="AK124" s="230"/>
      <c r="AL124" s="230"/>
      <c r="AM124" s="230"/>
      <c r="AN124" s="230"/>
      <c r="AO124" s="230"/>
      <c r="AP124" s="230"/>
      <c r="AQ124" s="230"/>
      <c r="AR124" s="230"/>
      <c r="AS124" s="230"/>
      <c r="AT124" s="230"/>
      <c r="AU124" s="230"/>
      <c r="AV124" s="230"/>
      <c r="AW124" s="230"/>
      <c r="AX124" s="230"/>
      <c r="AY124" s="230"/>
      <c r="AZ124" s="230"/>
      <c r="BA124" s="230"/>
      <c r="BB124" s="230"/>
      <c r="BC124" s="230"/>
      <c r="BD124" s="230"/>
      <c r="BE124" s="230"/>
      <c r="BF124" s="230"/>
      <c r="BG124" s="230"/>
      <c r="BH124" s="230"/>
      <c r="BI124" s="230"/>
      <c r="BJ124" s="230"/>
      <c r="BK124" s="230"/>
      <c r="BL124" s="230"/>
      <c r="BM124" s="230"/>
      <c r="BN124" s="230"/>
      <c r="BO124" s="230"/>
      <c r="BP124" s="230"/>
      <c r="BQ124" s="230"/>
      <c r="BR124" s="230"/>
      <c r="BS124" s="230"/>
      <c r="BT124" s="230"/>
      <c r="BU124" s="230"/>
      <c r="BV124" s="230"/>
      <c r="BW124" s="230"/>
      <c r="BX124" s="230"/>
      <c r="BY124" s="230"/>
      <c r="BZ124" s="230"/>
      <c r="CA124" s="230"/>
      <c r="CB124" s="230"/>
      <c r="CC124" s="230"/>
      <c r="CD124" s="230"/>
      <c r="CE124" s="230"/>
      <c r="CF124" s="230"/>
      <c r="CG124" s="230"/>
      <c r="CH124" s="230"/>
      <c r="CI124" s="230"/>
      <c r="CJ124" s="230"/>
      <c r="CK124" s="230"/>
      <c r="CL124" s="230"/>
      <c r="CM124" s="230"/>
      <c r="CN124" s="230"/>
      <c r="CO124" s="230"/>
      <c r="CP124" s="230"/>
      <c r="CQ124" s="230"/>
      <c r="CR124" s="230"/>
      <c r="CS124" s="230"/>
      <c r="CT124" s="230"/>
      <c r="CU124" s="230"/>
      <c r="CV124" s="230"/>
      <c r="CW124" s="230"/>
      <c r="CX124" s="230"/>
      <c r="CY124" s="230"/>
      <c r="CZ124" s="230"/>
      <c r="DA124" s="230"/>
      <c r="DB124" s="230"/>
      <c r="DC124" s="230"/>
      <c r="DD124" s="230"/>
      <c r="DE124" s="230"/>
      <c r="DF124" s="230"/>
      <c r="DG124" s="230"/>
      <c r="DH124" s="230"/>
      <c r="DI124" s="230"/>
      <c r="DJ124" s="230"/>
      <c r="DK124" s="230"/>
      <c r="DL124" s="230"/>
      <c r="DM124" s="230"/>
      <c r="DN124" s="230"/>
      <c r="DO124" s="230"/>
      <c r="DP124" s="230"/>
      <c r="DQ124" s="230"/>
      <c r="DR124" s="230"/>
      <c r="DS124" s="230"/>
      <c r="DT124" s="230"/>
      <c r="DU124" s="230"/>
      <c r="DV124" s="230"/>
      <c r="DW124" s="230"/>
      <c r="DX124" s="230"/>
      <c r="DY124" s="230"/>
      <c r="DZ124" s="230"/>
      <c r="EA124" s="230"/>
      <c r="EB124" s="230"/>
      <c r="EC124" s="230"/>
      <c r="ED124" s="230"/>
      <c r="EE124" s="230"/>
      <c r="EF124" s="230"/>
      <c r="EG124" s="230"/>
      <c r="EH124" s="230"/>
      <c r="EI124" s="230"/>
      <c r="EJ124" s="230"/>
      <c r="EK124" s="230"/>
      <c r="EL124" s="230"/>
      <c r="EM124" s="230"/>
      <c r="EN124" s="230"/>
      <c r="EO124" s="230"/>
      <c r="EP124" s="230"/>
      <c r="EQ124" s="230"/>
      <c r="ER124" s="230"/>
      <c r="ES124" s="230"/>
      <c r="ET124" s="230"/>
      <c r="EU124" s="230"/>
      <c r="EV124" s="230"/>
      <c r="EW124" s="230"/>
      <c r="EX124" s="230"/>
      <c r="EY124" s="230"/>
      <c r="EZ124" s="230"/>
      <c r="FA124" s="230"/>
      <c r="FB124" s="230"/>
      <c r="FC124" s="230"/>
      <c r="FD124" s="230"/>
      <c r="FE124" s="230"/>
      <c r="FF124" s="230"/>
      <c r="FG124" s="230"/>
      <c r="FH124" s="230"/>
      <c r="FI124" s="230"/>
      <c r="FJ124" s="230"/>
      <c r="FK124" s="230"/>
      <c r="FL124" s="230"/>
      <c r="FM124" s="230"/>
      <c r="FN124" s="230"/>
      <c r="FO124" s="230"/>
      <c r="FP124" s="230"/>
      <c r="FQ124" s="230"/>
      <c r="FR124" s="230"/>
      <c r="FS124" s="230"/>
      <c r="FT124" s="230"/>
      <c r="FU124" s="230"/>
      <c r="FV124" s="230"/>
      <c r="FW124" s="230"/>
      <c r="FX124" s="230"/>
      <c r="FY124" s="230"/>
      <c r="FZ124" s="230"/>
      <c r="GA124" s="230"/>
      <c r="GB124" s="230"/>
      <c r="GC124" s="230"/>
      <c r="GD124" s="230"/>
      <c r="GE124" s="230"/>
      <c r="GF124" s="230"/>
      <c r="GG124" s="230"/>
      <c r="GH124" s="230"/>
      <c r="GI124" s="230"/>
      <c r="GJ124" s="230"/>
      <c r="GK124" s="230"/>
      <c r="GL124" s="230"/>
      <c r="GM124" s="230"/>
      <c r="GN124" s="230"/>
      <c r="GO124" s="230"/>
      <c r="GP124" s="230"/>
      <c r="GQ124" s="230"/>
      <c r="GR124" s="230"/>
      <c r="GS124" s="230"/>
      <c r="GT124" s="230"/>
      <c r="GU124" s="230"/>
      <c r="GV124" s="230"/>
      <c r="GW124" s="230"/>
      <c r="GX124" s="230"/>
      <c r="GY124" s="230"/>
      <c r="GZ124" s="230"/>
      <c r="HA124" s="230"/>
      <c r="HB124" s="230"/>
      <c r="HC124" s="230"/>
      <c r="HD124" s="230"/>
      <c r="HE124" s="230"/>
      <c r="HF124" s="230"/>
      <c r="HG124" s="230"/>
      <c r="HH124" s="230"/>
      <c r="HI124" s="230"/>
      <c r="HJ124" s="230"/>
      <c r="HK124" s="230"/>
      <c r="HL124" s="230"/>
      <c r="HM124" s="230"/>
      <c r="HN124" s="230"/>
      <c r="HO124" s="230"/>
      <c r="HP124" s="230"/>
      <c r="HQ124" s="230"/>
      <c r="HR124" s="230"/>
      <c r="HS124" s="230"/>
      <c r="HT124" s="230"/>
      <c r="HU124" s="230"/>
      <c r="HV124" s="230"/>
      <c r="HW124" s="230"/>
      <c r="HX124" s="230"/>
      <c r="HY124" s="230"/>
      <c r="HZ124" s="230"/>
      <c r="IA124" s="230"/>
      <c r="IB124" s="230"/>
      <c r="IC124" s="230"/>
      <c r="ID124" s="230"/>
      <c r="IE124" s="230"/>
      <c r="IF124" s="230"/>
      <c r="IG124" s="230"/>
      <c r="IH124" s="230"/>
      <c r="II124" s="230"/>
      <c r="IJ124" s="230"/>
      <c r="IK124" s="230"/>
      <c r="IL124" s="230"/>
      <c r="IM124" s="230"/>
      <c r="IN124" s="230"/>
      <c r="IO124" s="230"/>
      <c r="IP124" s="230"/>
      <c r="IQ124" s="230"/>
      <c r="IR124" s="230"/>
      <c r="IS124" s="230"/>
      <c r="IT124" s="230"/>
    </row>
    <row r="125" spans="1:255">
      <c r="A125" s="181" t="s">
        <v>1610</v>
      </c>
      <c r="B125" s="179"/>
      <c r="C125" s="193">
        <f>C121+C122+C123-C126+C124+36477</f>
        <v>275533.78000000003</v>
      </c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9"/>
      <c r="BW125" s="179"/>
      <c r="BX125" s="179"/>
      <c r="BY125" s="179"/>
      <c r="BZ125" s="179"/>
      <c r="CA125" s="179"/>
      <c r="CB125" s="179"/>
      <c r="CC125" s="179"/>
      <c r="CD125" s="179"/>
      <c r="CE125" s="179"/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79"/>
      <c r="CQ125" s="179"/>
      <c r="CR125" s="179"/>
      <c r="CS125" s="179"/>
      <c r="CT125" s="179"/>
      <c r="CU125" s="179"/>
      <c r="CV125" s="179"/>
      <c r="CW125" s="179"/>
      <c r="CX125" s="179"/>
      <c r="CY125" s="179"/>
      <c r="CZ125" s="179"/>
      <c r="DA125" s="179"/>
      <c r="DB125" s="179"/>
      <c r="DC125" s="179"/>
      <c r="DD125" s="179"/>
      <c r="DE125" s="179"/>
      <c r="DF125" s="179"/>
      <c r="DG125" s="179"/>
      <c r="DH125" s="179"/>
      <c r="DI125" s="179"/>
      <c r="DJ125" s="179"/>
      <c r="DK125" s="179"/>
      <c r="DL125" s="179"/>
      <c r="DM125" s="179"/>
      <c r="DN125" s="179"/>
      <c r="DO125" s="179"/>
      <c r="DP125" s="179"/>
      <c r="DQ125" s="179"/>
      <c r="DR125" s="179"/>
      <c r="DS125" s="179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9"/>
      <c r="EF125" s="179"/>
      <c r="EG125" s="179"/>
      <c r="EH125" s="179"/>
      <c r="EI125" s="179"/>
      <c r="EJ125" s="179"/>
      <c r="EK125" s="179"/>
      <c r="EL125" s="179"/>
      <c r="EM125" s="179"/>
      <c r="EN125" s="179"/>
      <c r="EO125" s="179"/>
      <c r="EP125" s="179"/>
      <c r="EQ125" s="179"/>
      <c r="ER125" s="179"/>
      <c r="ES125" s="179"/>
      <c r="ET125" s="179"/>
      <c r="EU125" s="179"/>
      <c r="EV125" s="179"/>
      <c r="EW125" s="179"/>
      <c r="EX125" s="179"/>
      <c r="EY125" s="179"/>
      <c r="EZ125" s="179"/>
      <c r="FA125" s="179"/>
      <c r="FB125" s="179"/>
      <c r="FC125" s="179"/>
      <c r="FD125" s="179"/>
      <c r="FE125" s="179"/>
      <c r="FF125" s="179"/>
      <c r="FG125" s="179"/>
      <c r="FH125" s="179"/>
      <c r="FI125" s="179"/>
      <c r="FJ125" s="179"/>
      <c r="FK125" s="179"/>
      <c r="FL125" s="179"/>
      <c r="FM125" s="179"/>
      <c r="FN125" s="179"/>
      <c r="FO125" s="179"/>
      <c r="FP125" s="179"/>
      <c r="FQ125" s="179"/>
      <c r="FR125" s="179"/>
      <c r="FS125" s="179"/>
      <c r="FT125" s="179"/>
      <c r="FU125" s="179"/>
      <c r="FV125" s="179"/>
      <c r="FW125" s="179"/>
      <c r="FX125" s="179"/>
      <c r="FY125" s="179"/>
      <c r="FZ125" s="179"/>
      <c r="GA125" s="179"/>
      <c r="GB125" s="179"/>
      <c r="GC125" s="179"/>
      <c r="GD125" s="179"/>
      <c r="GE125" s="179"/>
      <c r="GF125" s="179"/>
      <c r="GG125" s="179"/>
      <c r="GH125" s="179"/>
      <c r="GI125" s="179"/>
      <c r="GJ125" s="179"/>
      <c r="GK125" s="179"/>
      <c r="GL125" s="179"/>
      <c r="GM125" s="179"/>
      <c r="GN125" s="179"/>
      <c r="GO125" s="179"/>
      <c r="GP125" s="179"/>
      <c r="GQ125" s="179"/>
      <c r="GR125" s="179"/>
      <c r="GS125" s="179"/>
      <c r="GT125" s="179"/>
      <c r="GU125" s="179"/>
      <c r="GV125" s="179"/>
      <c r="GW125" s="179"/>
      <c r="GX125" s="179"/>
      <c r="GY125" s="179"/>
      <c r="GZ125" s="179"/>
      <c r="HA125" s="179"/>
      <c r="HB125" s="179"/>
      <c r="HC125" s="179"/>
      <c r="HD125" s="179"/>
      <c r="HE125" s="179"/>
      <c r="HF125" s="179"/>
      <c r="HG125" s="179"/>
      <c r="HH125" s="179"/>
      <c r="HI125" s="179"/>
      <c r="HJ125" s="179"/>
      <c r="HK125" s="179"/>
      <c r="HL125" s="179"/>
      <c r="HM125" s="179"/>
      <c r="HN125" s="179"/>
      <c r="HO125" s="179"/>
      <c r="HP125" s="179"/>
      <c r="HQ125" s="179"/>
      <c r="HR125" s="179"/>
      <c r="HS125" s="179"/>
      <c r="HT125" s="179"/>
      <c r="HU125" s="179"/>
      <c r="HV125" s="179"/>
      <c r="HW125" s="179"/>
      <c r="HX125" s="179"/>
      <c r="HY125" s="179"/>
      <c r="HZ125" s="179"/>
      <c r="IA125" s="179"/>
      <c r="IB125" s="179"/>
      <c r="IC125" s="179"/>
      <c r="ID125" s="179"/>
      <c r="IE125" s="179"/>
      <c r="IF125" s="179"/>
      <c r="IG125" s="179"/>
      <c r="IH125" s="179"/>
      <c r="II125" s="179"/>
      <c r="IJ125" s="179"/>
      <c r="IK125" s="179"/>
      <c r="IL125" s="179"/>
      <c r="IM125" s="179"/>
      <c r="IN125" s="179"/>
      <c r="IO125" s="179"/>
      <c r="IP125" s="179"/>
      <c r="IQ125" s="179"/>
      <c r="IR125" s="179"/>
      <c r="IS125" s="179"/>
      <c r="IT125" s="179"/>
    </row>
    <row r="126" spans="1:255" s="73" customFormat="1">
      <c r="A126" s="193" t="s">
        <v>1609</v>
      </c>
      <c r="B126" s="230"/>
      <c r="C126" s="193">
        <v>61311.34</v>
      </c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  <c r="AH126" s="230"/>
      <c r="AI126" s="230"/>
      <c r="AJ126" s="230"/>
      <c r="AK126" s="230"/>
      <c r="AL126" s="230"/>
      <c r="AM126" s="230"/>
      <c r="AN126" s="230"/>
      <c r="AO126" s="230"/>
      <c r="AP126" s="230"/>
      <c r="AQ126" s="230"/>
      <c r="AR126" s="230"/>
      <c r="AS126" s="230"/>
      <c r="AT126" s="230"/>
      <c r="AU126" s="230"/>
      <c r="AV126" s="230"/>
      <c r="AW126" s="230"/>
      <c r="AX126" s="230"/>
      <c r="AY126" s="230"/>
      <c r="AZ126" s="230"/>
      <c r="BA126" s="230"/>
      <c r="BB126" s="230"/>
      <c r="BC126" s="230"/>
      <c r="BD126" s="230"/>
      <c r="BE126" s="230"/>
      <c r="BF126" s="230"/>
      <c r="BG126" s="230"/>
      <c r="BH126" s="230"/>
      <c r="BI126" s="230"/>
      <c r="BJ126" s="230"/>
      <c r="BK126" s="230"/>
      <c r="BL126" s="230"/>
      <c r="BM126" s="230"/>
      <c r="BN126" s="230"/>
      <c r="BO126" s="230"/>
      <c r="BP126" s="230"/>
      <c r="BQ126" s="230"/>
      <c r="BR126" s="230"/>
      <c r="BS126" s="230"/>
      <c r="BT126" s="230"/>
      <c r="BU126" s="230"/>
      <c r="BV126" s="230"/>
      <c r="BW126" s="230"/>
      <c r="BX126" s="230"/>
      <c r="BY126" s="230"/>
      <c r="BZ126" s="230"/>
      <c r="CA126" s="230"/>
      <c r="CB126" s="230"/>
      <c r="CC126" s="230"/>
      <c r="CD126" s="230"/>
      <c r="CE126" s="230"/>
      <c r="CF126" s="230"/>
      <c r="CG126" s="230"/>
      <c r="CH126" s="230"/>
      <c r="CI126" s="230"/>
      <c r="CJ126" s="230"/>
      <c r="CK126" s="230"/>
      <c r="CL126" s="230"/>
      <c r="CM126" s="230"/>
      <c r="CN126" s="230"/>
      <c r="CO126" s="230"/>
      <c r="CP126" s="230"/>
      <c r="CQ126" s="230"/>
      <c r="CR126" s="230"/>
      <c r="CS126" s="230"/>
      <c r="CT126" s="230"/>
      <c r="CU126" s="230"/>
      <c r="CV126" s="230"/>
      <c r="CW126" s="230"/>
      <c r="CX126" s="230"/>
      <c r="CY126" s="230"/>
      <c r="CZ126" s="230"/>
      <c r="DA126" s="230"/>
      <c r="DB126" s="230"/>
      <c r="DC126" s="230"/>
      <c r="DD126" s="230"/>
      <c r="DE126" s="230"/>
      <c r="DF126" s="230"/>
      <c r="DG126" s="230"/>
      <c r="DH126" s="230"/>
      <c r="DI126" s="230"/>
      <c r="DJ126" s="230"/>
      <c r="DK126" s="230"/>
      <c r="DL126" s="230"/>
      <c r="DM126" s="230"/>
      <c r="DN126" s="230"/>
      <c r="DO126" s="230"/>
      <c r="DP126" s="230"/>
      <c r="DQ126" s="230"/>
      <c r="DR126" s="230"/>
      <c r="DS126" s="230"/>
      <c r="DT126" s="230"/>
      <c r="DU126" s="230"/>
      <c r="DV126" s="230"/>
      <c r="DW126" s="230"/>
      <c r="DX126" s="230"/>
      <c r="DY126" s="230"/>
      <c r="DZ126" s="230"/>
      <c r="EA126" s="230"/>
      <c r="EB126" s="230"/>
      <c r="EC126" s="230"/>
      <c r="ED126" s="230"/>
      <c r="EE126" s="230"/>
      <c r="EF126" s="230"/>
      <c r="EG126" s="230"/>
      <c r="EH126" s="230"/>
      <c r="EI126" s="230"/>
      <c r="EJ126" s="230"/>
      <c r="EK126" s="230"/>
      <c r="EL126" s="230"/>
      <c r="EM126" s="230"/>
      <c r="EN126" s="230"/>
      <c r="EO126" s="230"/>
      <c r="EP126" s="230"/>
      <c r="EQ126" s="230"/>
      <c r="ER126" s="230"/>
      <c r="ES126" s="230"/>
      <c r="ET126" s="230"/>
      <c r="EU126" s="230"/>
      <c r="EV126" s="230"/>
      <c r="EW126" s="230"/>
      <c r="EX126" s="230"/>
      <c r="EY126" s="230"/>
      <c r="EZ126" s="230"/>
      <c r="FA126" s="230"/>
      <c r="FB126" s="230"/>
      <c r="FC126" s="230"/>
      <c r="FD126" s="230"/>
      <c r="FE126" s="230"/>
      <c r="FF126" s="230"/>
      <c r="FG126" s="230"/>
      <c r="FH126" s="230"/>
      <c r="FI126" s="230"/>
      <c r="FJ126" s="230"/>
      <c r="FK126" s="230"/>
      <c r="FL126" s="230"/>
      <c r="FM126" s="230"/>
      <c r="FN126" s="230"/>
      <c r="FO126" s="230"/>
      <c r="FP126" s="230"/>
      <c r="FQ126" s="230"/>
      <c r="FR126" s="230"/>
      <c r="FS126" s="230"/>
      <c r="FT126" s="230"/>
      <c r="FU126" s="230"/>
      <c r="FV126" s="230"/>
      <c r="FW126" s="230"/>
      <c r="FX126" s="230"/>
      <c r="FY126" s="230"/>
      <c r="FZ126" s="230"/>
      <c r="GA126" s="230"/>
      <c r="GB126" s="230"/>
      <c r="GC126" s="230"/>
      <c r="GD126" s="230"/>
      <c r="GE126" s="230"/>
      <c r="GF126" s="230"/>
      <c r="GG126" s="230"/>
      <c r="GH126" s="230"/>
      <c r="GI126" s="230"/>
      <c r="GJ126" s="230"/>
      <c r="GK126" s="230"/>
      <c r="GL126" s="230"/>
      <c r="GM126" s="230"/>
      <c r="GN126" s="230"/>
      <c r="GO126" s="230"/>
      <c r="GP126" s="230"/>
      <c r="GQ126" s="230"/>
      <c r="GR126" s="230"/>
      <c r="GS126" s="230"/>
      <c r="GT126" s="230"/>
      <c r="GU126" s="230"/>
      <c r="GV126" s="230"/>
      <c r="GW126" s="230"/>
      <c r="GX126" s="230"/>
      <c r="GY126" s="230"/>
      <c r="GZ126" s="230"/>
      <c r="HA126" s="230"/>
      <c r="HB126" s="230"/>
      <c r="HC126" s="230"/>
      <c r="HD126" s="230"/>
      <c r="HE126" s="230"/>
      <c r="HF126" s="230"/>
      <c r="HG126" s="230"/>
      <c r="HH126" s="230"/>
      <c r="HI126" s="230"/>
      <c r="HJ126" s="230"/>
      <c r="HK126" s="230"/>
      <c r="HL126" s="230"/>
      <c r="HM126" s="230"/>
      <c r="HN126" s="230"/>
      <c r="HO126" s="230"/>
      <c r="HP126" s="230"/>
      <c r="HQ126" s="230"/>
      <c r="HR126" s="230"/>
      <c r="HS126" s="230"/>
      <c r="HT126" s="230"/>
      <c r="HU126" s="230"/>
      <c r="HV126" s="230"/>
      <c r="HW126" s="230"/>
      <c r="HX126" s="230"/>
      <c r="HY126" s="230"/>
      <c r="HZ126" s="230"/>
      <c r="IA126" s="230"/>
      <c r="IB126" s="230"/>
      <c r="IC126" s="230"/>
      <c r="ID126" s="230"/>
      <c r="IE126" s="230"/>
      <c r="IF126" s="230"/>
      <c r="IG126" s="230"/>
      <c r="IH126" s="230"/>
      <c r="II126" s="230"/>
      <c r="IJ126" s="230"/>
      <c r="IK126" s="230"/>
      <c r="IL126" s="230"/>
      <c r="IM126" s="230"/>
      <c r="IN126" s="230"/>
      <c r="IO126" s="230"/>
      <c r="IP126" s="230"/>
      <c r="IQ126" s="230"/>
      <c r="IR126" s="230"/>
      <c r="IS126" s="230"/>
      <c r="IT126" s="230"/>
    </row>
    <row r="127" spans="1:255" s="73" customFormat="1" ht="22.5" customHeight="1">
      <c r="A127" s="234" t="s">
        <v>1604</v>
      </c>
      <c r="B127" s="429"/>
      <c r="C127" s="196">
        <f>C125</f>
        <v>275533.78000000003</v>
      </c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0"/>
      <c r="AD127" s="230"/>
      <c r="AE127" s="230"/>
      <c r="AF127" s="230"/>
      <c r="AG127" s="230"/>
      <c r="AH127" s="230"/>
      <c r="AI127" s="230"/>
      <c r="AJ127" s="230"/>
      <c r="AK127" s="230"/>
      <c r="AL127" s="230"/>
      <c r="AM127" s="230"/>
      <c r="AN127" s="230"/>
      <c r="AO127" s="230"/>
      <c r="AP127" s="230"/>
      <c r="AQ127" s="230"/>
      <c r="AR127" s="230"/>
      <c r="AS127" s="230"/>
      <c r="AT127" s="230"/>
      <c r="AU127" s="230"/>
      <c r="AV127" s="230"/>
      <c r="AW127" s="230"/>
      <c r="AX127" s="230"/>
      <c r="AY127" s="230"/>
      <c r="AZ127" s="230"/>
      <c r="BA127" s="230"/>
      <c r="BB127" s="230"/>
      <c r="BC127" s="230"/>
      <c r="BD127" s="230"/>
      <c r="BE127" s="230"/>
      <c r="BF127" s="230"/>
      <c r="BG127" s="230"/>
      <c r="BH127" s="230"/>
      <c r="BI127" s="230"/>
      <c r="BJ127" s="230"/>
      <c r="BK127" s="230"/>
      <c r="BL127" s="230"/>
      <c r="BM127" s="230"/>
      <c r="BN127" s="230"/>
      <c r="BO127" s="230"/>
      <c r="BP127" s="230"/>
      <c r="BQ127" s="230"/>
      <c r="BR127" s="230"/>
      <c r="BS127" s="230"/>
      <c r="BT127" s="230"/>
      <c r="BU127" s="230"/>
      <c r="BV127" s="230"/>
      <c r="BW127" s="230"/>
      <c r="BX127" s="230"/>
      <c r="BY127" s="230"/>
      <c r="BZ127" s="230"/>
      <c r="CA127" s="230"/>
      <c r="CB127" s="230"/>
      <c r="CC127" s="230"/>
      <c r="CD127" s="230"/>
      <c r="CE127" s="230"/>
      <c r="CF127" s="230"/>
      <c r="CG127" s="230"/>
      <c r="CH127" s="230"/>
      <c r="CI127" s="230"/>
      <c r="CJ127" s="230"/>
      <c r="CK127" s="230"/>
      <c r="CL127" s="230"/>
      <c r="CM127" s="230"/>
      <c r="CN127" s="230"/>
      <c r="CO127" s="230"/>
      <c r="CP127" s="230"/>
      <c r="CQ127" s="230"/>
      <c r="CR127" s="230"/>
      <c r="CS127" s="230"/>
      <c r="CT127" s="230"/>
      <c r="CU127" s="230"/>
      <c r="CV127" s="230"/>
      <c r="CW127" s="230"/>
      <c r="CX127" s="230"/>
      <c r="CY127" s="230"/>
      <c r="CZ127" s="230"/>
      <c r="DA127" s="230"/>
      <c r="DB127" s="230"/>
      <c r="DC127" s="230"/>
      <c r="DD127" s="230"/>
      <c r="DE127" s="230"/>
      <c r="DF127" s="230"/>
      <c r="DG127" s="230"/>
      <c r="DH127" s="230"/>
      <c r="DI127" s="230"/>
      <c r="DJ127" s="230"/>
      <c r="DK127" s="230"/>
      <c r="DL127" s="230"/>
      <c r="DM127" s="230"/>
      <c r="DN127" s="230"/>
      <c r="DO127" s="230"/>
      <c r="DP127" s="230"/>
      <c r="DQ127" s="230"/>
      <c r="DR127" s="230"/>
      <c r="DS127" s="230"/>
      <c r="DT127" s="230"/>
      <c r="DU127" s="230"/>
      <c r="DV127" s="230"/>
      <c r="DW127" s="230"/>
      <c r="DX127" s="230"/>
      <c r="DY127" s="230"/>
      <c r="DZ127" s="230"/>
      <c r="EA127" s="230"/>
      <c r="EB127" s="230"/>
      <c r="EC127" s="230"/>
      <c r="ED127" s="230"/>
      <c r="EE127" s="230"/>
      <c r="EF127" s="230"/>
      <c r="EG127" s="230"/>
      <c r="EH127" s="230"/>
      <c r="EI127" s="230"/>
      <c r="EJ127" s="230"/>
      <c r="EK127" s="230"/>
      <c r="EL127" s="230"/>
      <c r="EM127" s="230"/>
      <c r="EN127" s="230"/>
      <c r="EO127" s="230"/>
      <c r="EP127" s="230"/>
      <c r="EQ127" s="230"/>
      <c r="ER127" s="230"/>
      <c r="ES127" s="230"/>
      <c r="ET127" s="230"/>
      <c r="EU127" s="230"/>
      <c r="EV127" s="230"/>
      <c r="EW127" s="230"/>
      <c r="EX127" s="230"/>
      <c r="EY127" s="230"/>
      <c r="EZ127" s="230"/>
      <c r="FA127" s="230"/>
      <c r="FB127" s="230"/>
      <c r="FC127" s="230"/>
      <c r="FD127" s="230"/>
      <c r="FE127" s="230"/>
      <c r="FF127" s="230"/>
      <c r="FG127" s="230"/>
      <c r="FH127" s="230"/>
      <c r="FI127" s="230"/>
      <c r="FJ127" s="230"/>
      <c r="FK127" s="230"/>
      <c r="FL127" s="230"/>
      <c r="FM127" s="230"/>
      <c r="FN127" s="230"/>
      <c r="FO127" s="230"/>
      <c r="FP127" s="230"/>
      <c r="FQ127" s="230"/>
      <c r="FR127" s="230"/>
      <c r="FS127" s="230"/>
      <c r="FT127" s="230"/>
      <c r="FU127" s="230"/>
      <c r="FV127" s="230"/>
      <c r="FW127" s="230"/>
      <c r="FX127" s="230"/>
      <c r="FY127" s="230"/>
      <c r="FZ127" s="230"/>
      <c r="GA127" s="230"/>
      <c r="GB127" s="230"/>
      <c r="GC127" s="230"/>
      <c r="GD127" s="230"/>
      <c r="GE127" s="230"/>
      <c r="GF127" s="230"/>
      <c r="GG127" s="230"/>
      <c r="GH127" s="230"/>
      <c r="GI127" s="230"/>
      <c r="GJ127" s="230"/>
      <c r="GK127" s="230"/>
      <c r="GL127" s="230"/>
      <c r="GM127" s="230"/>
      <c r="GN127" s="230"/>
      <c r="GO127" s="230"/>
      <c r="GP127" s="230"/>
      <c r="GQ127" s="230"/>
      <c r="GR127" s="230"/>
      <c r="GS127" s="230"/>
      <c r="GT127" s="230"/>
      <c r="GU127" s="230"/>
      <c r="GV127" s="230"/>
      <c r="GW127" s="230"/>
      <c r="GX127" s="230"/>
      <c r="GY127" s="230"/>
      <c r="GZ127" s="230"/>
      <c r="HA127" s="230"/>
      <c r="HB127" s="230"/>
      <c r="HC127" s="230"/>
      <c r="HD127" s="230"/>
      <c r="HE127" s="230"/>
      <c r="HF127" s="230"/>
      <c r="HG127" s="230"/>
      <c r="HH127" s="230"/>
      <c r="HI127" s="230"/>
      <c r="HJ127" s="230"/>
      <c r="HK127" s="230"/>
      <c r="HL127" s="230"/>
      <c r="HM127" s="230"/>
      <c r="HN127" s="230"/>
      <c r="HO127" s="230"/>
      <c r="HP127" s="230"/>
      <c r="HQ127" s="230"/>
      <c r="HR127" s="230"/>
      <c r="HS127" s="230"/>
      <c r="HT127" s="230"/>
      <c r="HU127" s="230"/>
      <c r="HV127" s="230"/>
      <c r="HW127" s="230"/>
      <c r="HX127" s="230"/>
      <c r="HY127" s="230"/>
      <c r="HZ127" s="230"/>
      <c r="IA127" s="230"/>
      <c r="IB127" s="230"/>
      <c r="IC127" s="230"/>
      <c r="ID127" s="230"/>
      <c r="IE127" s="230"/>
      <c r="IF127" s="230"/>
      <c r="IG127" s="230"/>
      <c r="IH127" s="230"/>
      <c r="II127" s="230"/>
      <c r="IJ127" s="230"/>
      <c r="IK127" s="230"/>
      <c r="IL127" s="230"/>
      <c r="IM127" s="230"/>
      <c r="IN127" s="230"/>
      <c r="IO127" s="230"/>
      <c r="IP127" s="230"/>
      <c r="IQ127" s="230"/>
      <c r="IR127" s="230"/>
      <c r="IS127" s="230"/>
      <c r="IT127" s="230"/>
    </row>
    <row r="128" spans="1:255">
      <c r="A128" s="179"/>
      <c r="B128" s="179"/>
      <c r="C128" s="197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79"/>
      <c r="BW128" s="179"/>
      <c r="BX128" s="179"/>
      <c r="BY128" s="179"/>
      <c r="BZ128" s="179"/>
      <c r="CA128" s="179"/>
      <c r="CB128" s="179"/>
      <c r="CC128" s="179"/>
      <c r="CD128" s="179"/>
      <c r="CE128" s="179"/>
      <c r="CF128" s="179"/>
      <c r="CG128" s="179"/>
      <c r="CH128" s="179"/>
      <c r="CI128" s="179"/>
      <c r="CJ128" s="179"/>
      <c r="CK128" s="179"/>
      <c r="CL128" s="179"/>
      <c r="CM128" s="179"/>
      <c r="CN128" s="179"/>
      <c r="CO128" s="179"/>
      <c r="CP128" s="179"/>
      <c r="CQ128" s="179"/>
      <c r="CR128" s="179"/>
      <c r="CS128" s="179"/>
      <c r="CT128" s="179"/>
      <c r="CU128" s="179"/>
      <c r="CV128" s="179"/>
      <c r="CW128" s="179"/>
      <c r="CX128" s="179"/>
      <c r="CY128" s="179"/>
      <c r="CZ128" s="179"/>
      <c r="DA128" s="179"/>
      <c r="DB128" s="179"/>
      <c r="DC128" s="179"/>
      <c r="DD128" s="179"/>
      <c r="DE128" s="179"/>
      <c r="DF128" s="179"/>
      <c r="DG128" s="179"/>
      <c r="DH128" s="179"/>
      <c r="DI128" s="179"/>
      <c r="DJ128" s="179"/>
      <c r="DK128" s="179"/>
      <c r="DL128" s="179"/>
      <c r="DM128" s="179"/>
      <c r="DN128" s="179"/>
      <c r="DO128" s="179"/>
      <c r="DP128" s="179"/>
      <c r="DQ128" s="179"/>
      <c r="DR128" s="179"/>
      <c r="DS128" s="179"/>
      <c r="DT128" s="179"/>
      <c r="DU128" s="179"/>
      <c r="DV128" s="179"/>
      <c r="DW128" s="179"/>
      <c r="DX128" s="179"/>
      <c r="DY128" s="179"/>
      <c r="DZ128" s="179"/>
      <c r="EA128" s="179"/>
      <c r="EB128" s="179"/>
      <c r="EC128" s="179"/>
      <c r="ED128" s="179"/>
      <c r="EE128" s="179"/>
      <c r="EF128" s="179"/>
      <c r="EG128" s="179"/>
      <c r="EH128" s="179"/>
      <c r="EI128" s="179"/>
      <c r="EJ128" s="179"/>
      <c r="EK128" s="179"/>
      <c r="EL128" s="179"/>
      <c r="EM128" s="179"/>
      <c r="EN128" s="179"/>
      <c r="EO128" s="179"/>
      <c r="EP128" s="179"/>
      <c r="EQ128" s="179"/>
      <c r="ER128" s="179"/>
      <c r="ES128" s="179"/>
      <c r="ET128" s="179"/>
      <c r="EU128" s="179"/>
      <c r="EV128" s="179"/>
      <c r="EW128" s="179"/>
      <c r="EX128" s="179"/>
      <c r="EY128" s="179"/>
      <c r="EZ128" s="179"/>
      <c r="FA128" s="179"/>
      <c r="FB128" s="179"/>
      <c r="FC128" s="179"/>
      <c r="FD128" s="179"/>
      <c r="FE128" s="179"/>
      <c r="FF128" s="179"/>
      <c r="FG128" s="179"/>
      <c r="FH128" s="179"/>
      <c r="FI128" s="179"/>
      <c r="FJ128" s="179"/>
      <c r="FK128" s="179"/>
      <c r="FL128" s="179"/>
      <c r="FM128" s="179"/>
      <c r="FN128" s="179"/>
      <c r="FO128" s="179"/>
      <c r="FP128" s="179"/>
      <c r="FQ128" s="179"/>
      <c r="FR128" s="179"/>
      <c r="FS128" s="179"/>
      <c r="FT128" s="179"/>
      <c r="FU128" s="179"/>
      <c r="FV128" s="179"/>
      <c r="FW128" s="179"/>
      <c r="FX128" s="179"/>
      <c r="FY128" s="179"/>
      <c r="FZ128" s="179"/>
      <c r="GA128" s="179"/>
      <c r="GB128" s="179"/>
      <c r="GC128" s="179"/>
      <c r="GD128" s="179"/>
      <c r="GE128" s="179"/>
      <c r="GF128" s="179"/>
      <c r="GG128" s="179"/>
      <c r="GH128" s="179"/>
      <c r="GI128" s="179"/>
      <c r="GJ128" s="179"/>
      <c r="GK128" s="179"/>
      <c r="GL128" s="179"/>
      <c r="GM128" s="179"/>
      <c r="GN128" s="179"/>
      <c r="GO128" s="179"/>
      <c r="GP128" s="179"/>
      <c r="GQ128" s="179"/>
      <c r="GR128" s="179"/>
      <c r="GS128" s="179"/>
      <c r="GT128" s="179"/>
      <c r="GU128" s="179"/>
      <c r="GV128" s="179"/>
      <c r="GW128" s="179"/>
      <c r="GX128" s="179"/>
      <c r="GY128" s="179"/>
      <c r="GZ128" s="179"/>
      <c r="HA128" s="179"/>
      <c r="HB128" s="179"/>
      <c r="HC128" s="179"/>
      <c r="HD128" s="179"/>
      <c r="HE128" s="179"/>
      <c r="HF128" s="179"/>
      <c r="HG128" s="179"/>
      <c r="HH128" s="179"/>
      <c r="HI128" s="179"/>
      <c r="HJ128" s="179"/>
      <c r="HK128" s="179"/>
      <c r="HL128" s="179"/>
      <c r="HM128" s="179"/>
      <c r="HN128" s="179"/>
      <c r="HO128" s="179"/>
      <c r="HP128" s="179"/>
      <c r="HQ128" s="179"/>
      <c r="HR128" s="179"/>
      <c r="HS128" s="179"/>
      <c r="HT128" s="179"/>
      <c r="HU128" s="179"/>
      <c r="HV128" s="179"/>
      <c r="HW128" s="179"/>
      <c r="HX128" s="179"/>
      <c r="HY128" s="179"/>
      <c r="HZ128" s="179"/>
      <c r="IA128" s="179"/>
      <c r="IB128" s="179"/>
      <c r="IC128" s="179"/>
      <c r="ID128" s="179"/>
      <c r="IE128" s="179"/>
      <c r="IF128" s="179"/>
      <c r="IG128" s="179"/>
      <c r="IH128" s="179"/>
      <c r="II128" s="179"/>
      <c r="IJ128" s="179"/>
      <c r="IK128" s="179"/>
      <c r="IL128" s="179"/>
      <c r="IM128" s="179"/>
      <c r="IN128" s="179"/>
      <c r="IO128" s="179"/>
      <c r="IP128" s="179"/>
      <c r="IQ128" s="179"/>
      <c r="IR128" s="179"/>
      <c r="IS128" s="179"/>
      <c r="IT128" s="179"/>
    </row>
    <row r="129" spans="1:254">
      <c r="A129" s="180" t="s">
        <v>1606</v>
      </c>
      <c r="B129" s="179"/>
      <c r="C129" s="198">
        <f>C131+C134+C136+C137+C139+C141+C142+C132+C140+C135</f>
        <v>265812.62128980301</v>
      </c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79"/>
      <c r="BV129" s="179"/>
      <c r="BW129" s="179"/>
      <c r="BX129" s="179"/>
      <c r="BY129" s="179"/>
      <c r="BZ129" s="179"/>
      <c r="CA129" s="179"/>
      <c r="CB129" s="179"/>
      <c r="CC129" s="179"/>
      <c r="CD129" s="179"/>
      <c r="CE129" s="179"/>
      <c r="CF129" s="179"/>
      <c r="CG129" s="179"/>
      <c r="CH129" s="179"/>
      <c r="CI129" s="179"/>
      <c r="CJ129" s="179"/>
      <c r="CK129" s="179"/>
      <c r="CL129" s="179"/>
      <c r="CM129" s="179"/>
      <c r="CN129" s="179"/>
      <c r="CO129" s="179"/>
      <c r="CP129" s="179"/>
      <c r="CQ129" s="179"/>
      <c r="CR129" s="179"/>
      <c r="CS129" s="179"/>
      <c r="CT129" s="179"/>
      <c r="CU129" s="179"/>
      <c r="CV129" s="179"/>
      <c r="CW129" s="179"/>
      <c r="CX129" s="179"/>
      <c r="CY129" s="179"/>
      <c r="CZ129" s="179"/>
      <c r="DA129" s="179"/>
      <c r="DB129" s="179"/>
      <c r="DC129" s="179"/>
      <c r="DD129" s="179"/>
      <c r="DE129" s="179"/>
      <c r="DF129" s="179"/>
      <c r="DG129" s="179"/>
      <c r="DH129" s="179"/>
      <c r="DI129" s="179"/>
      <c r="DJ129" s="179"/>
      <c r="DK129" s="179"/>
      <c r="DL129" s="179"/>
      <c r="DM129" s="179"/>
      <c r="DN129" s="179"/>
      <c r="DO129" s="179"/>
      <c r="DP129" s="179"/>
      <c r="DQ129" s="179"/>
      <c r="DR129" s="179"/>
      <c r="DS129" s="179"/>
      <c r="DT129" s="179"/>
      <c r="DU129" s="179"/>
      <c r="DV129" s="179"/>
      <c r="DW129" s="179"/>
      <c r="DX129" s="179"/>
      <c r="DY129" s="179"/>
      <c r="DZ129" s="179"/>
      <c r="EA129" s="179"/>
      <c r="EB129" s="179"/>
      <c r="EC129" s="179"/>
      <c r="ED129" s="179"/>
      <c r="EE129" s="179"/>
      <c r="EF129" s="179"/>
      <c r="EG129" s="179"/>
      <c r="EH129" s="179"/>
      <c r="EI129" s="179"/>
      <c r="EJ129" s="179"/>
      <c r="EK129" s="179"/>
      <c r="EL129" s="179"/>
      <c r="EM129" s="179"/>
      <c r="EN129" s="179"/>
      <c r="EO129" s="179"/>
      <c r="EP129" s="179"/>
      <c r="EQ129" s="179"/>
      <c r="ER129" s="179"/>
      <c r="ES129" s="179"/>
      <c r="ET129" s="179"/>
      <c r="EU129" s="179"/>
      <c r="EV129" s="179"/>
      <c r="EW129" s="179"/>
      <c r="EX129" s="179"/>
      <c r="EY129" s="179"/>
      <c r="EZ129" s="179"/>
      <c r="FA129" s="179"/>
      <c r="FB129" s="179"/>
      <c r="FC129" s="179"/>
      <c r="FD129" s="179"/>
      <c r="FE129" s="179"/>
      <c r="FF129" s="179"/>
      <c r="FG129" s="179"/>
      <c r="FH129" s="179"/>
      <c r="FI129" s="179"/>
      <c r="FJ129" s="179"/>
      <c r="FK129" s="179"/>
      <c r="FL129" s="179"/>
      <c r="FM129" s="179"/>
      <c r="FN129" s="179"/>
      <c r="FO129" s="179"/>
      <c r="FP129" s="179"/>
      <c r="FQ129" s="179"/>
      <c r="FR129" s="179"/>
      <c r="FS129" s="179"/>
      <c r="FT129" s="179"/>
      <c r="FU129" s="179"/>
      <c r="FV129" s="179"/>
      <c r="FW129" s="179"/>
      <c r="FX129" s="179"/>
      <c r="FY129" s="179"/>
      <c r="FZ129" s="179"/>
      <c r="GA129" s="179"/>
      <c r="GB129" s="179"/>
      <c r="GC129" s="179"/>
      <c r="GD129" s="179"/>
      <c r="GE129" s="179"/>
      <c r="GF129" s="179"/>
      <c r="GG129" s="179"/>
      <c r="GH129" s="179"/>
      <c r="GI129" s="179"/>
      <c r="GJ129" s="179"/>
      <c r="GK129" s="179"/>
      <c r="GL129" s="179"/>
      <c r="GM129" s="179"/>
      <c r="GN129" s="179"/>
      <c r="GO129" s="179"/>
      <c r="GP129" s="179"/>
      <c r="GQ129" s="179"/>
      <c r="GR129" s="179"/>
      <c r="GS129" s="179"/>
      <c r="GT129" s="179"/>
      <c r="GU129" s="179"/>
      <c r="GV129" s="179"/>
      <c r="GW129" s="179"/>
      <c r="GX129" s="179"/>
      <c r="GY129" s="179"/>
      <c r="GZ129" s="179"/>
      <c r="HA129" s="179"/>
      <c r="HB129" s="179"/>
      <c r="HC129" s="179"/>
      <c r="HD129" s="179"/>
      <c r="HE129" s="179"/>
      <c r="HF129" s="179"/>
      <c r="HG129" s="179"/>
      <c r="HH129" s="179"/>
      <c r="HI129" s="179"/>
      <c r="HJ129" s="179"/>
      <c r="HK129" s="179"/>
      <c r="HL129" s="179"/>
      <c r="HM129" s="179"/>
      <c r="HN129" s="179"/>
      <c r="HO129" s="179"/>
      <c r="HP129" s="179"/>
      <c r="HQ129" s="179"/>
      <c r="HR129" s="179"/>
      <c r="HS129" s="179"/>
      <c r="HT129" s="179"/>
      <c r="HU129" s="179"/>
      <c r="HV129" s="179"/>
      <c r="HW129" s="179"/>
      <c r="HX129" s="179"/>
      <c r="HY129" s="179"/>
      <c r="HZ129" s="179"/>
      <c r="IA129" s="179"/>
      <c r="IB129" s="179"/>
      <c r="IC129" s="179"/>
      <c r="ID129" s="179"/>
      <c r="IE129" s="179"/>
      <c r="IF129" s="179"/>
      <c r="IG129" s="179"/>
      <c r="IH129" s="179"/>
      <c r="II129" s="179"/>
      <c r="IJ129" s="179"/>
      <c r="IK129" s="179"/>
      <c r="IL129" s="179"/>
      <c r="IM129" s="179"/>
      <c r="IN129" s="179"/>
      <c r="IO129" s="179"/>
      <c r="IP129" s="179"/>
      <c r="IQ129" s="179"/>
      <c r="IR129" s="179"/>
      <c r="IS129" s="179"/>
      <c r="IT129" s="179"/>
    </row>
    <row r="130" spans="1:254">
      <c r="A130" s="181" t="s">
        <v>599</v>
      </c>
      <c r="B130" s="179"/>
      <c r="C130" s="193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79"/>
      <c r="CH130" s="179"/>
      <c r="CI130" s="179"/>
      <c r="CJ130" s="179"/>
      <c r="CK130" s="179"/>
      <c r="CL130" s="179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79"/>
      <c r="DE130" s="179"/>
      <c r="DF130" s="179"/>
      <c r="DG130" s="179"/>
      <c r="DH130" s="179"/>
      <c r="DI130" s="179"/>
      <c r="DJ130" s="179"/>
      <c r="DK130" s="179"/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/>
      <c r="DY130" s="179"/>
      <c r="DZ130" s="179"/>
      <c r="EA130" s="179"/>
      <c r="EB130" s="179"/>
      <c r="EC130" s="179"/>
      <c r="ED130" s="179"/>
      <c r="EE130" s="179"/>
      <c r="EF130" s="179"/>
      <c r="EG130" s="179"/>
      <c r="EH130" s="179"/>
      <c r="EI130" s="179"/>
      <c r="EJ130" s="179"/>
      <c r="EK130" s="179"/>
      <c r="EL130" s="179"/>
      <c r="EM130" s="179"/>
      <c r="EN130" s="179"/>
      <c r="EO130" s="179"/>
      <c r="EP130" s="179"/>
      <c r="EQ130" s="179"/>
      <c r="ER130" s="179"/>
      <c r="ES130" s="179"/>
      <c r="ET130" s="179"/>
      <c r="EU130" s="179"/>
      <c r="EV130" s="179"/>
      <c r="EW130" s="179"/>
      <c r="EX130" s="179"/>
      <c r="EY130" s="179"/>
      <c r="EZ130" s="179"/>
      <c r="FA130" s="179"/>
      <c r="FB130" s="179"/>
      <c r="FC130" s="179"/>
      <c r="FD130" s="179"/>
      <c r="FE130" s="179"/>
      <c r="FF130" s="179"/>
      <c r="FG130" s="179"/>
      <c r="FH130" s="179"/>
      <c r="FI130" s="179"/>
      <c r="FJ130" s="179"/>
      <c r="FK130" s="179"/>
      <c r="FL130" s="179"/>
      <c r="FM130" s="179"/>
      <c r="FN130" s="179"/>
      <c r="FO130" s="179"/>
      <c r="FP130" s="179"/>
      <c r="FQ130" s="179"/>
      <c r="FR130" s="179"/>
      <c r="FS130" s="179"/>
      <c r="FT130" s="179"/>
      <c r="FU130" s="179"/>
      <c r="FV130" s="179"/>
      <c r="FW130" s="179"/>
      <c r="FX130" s="179"/>
      <c r="FY130" s="179"/>
      <c r="FZ130" s="179"/>
      <c r="GA130" s="179"/>
      <c r="GB130" s="179"/>
      <c r="GC130" s="179"/>
      <c r="GD130" s="179"/>
      <c r="GE130" s="179"/>
      <c r="GF130" s="179"/>
      <c r="GG130" s="179"/>
      <c r="GH130" s="179"/>
      <c r="GI130" s="179"/>
      <c r="GJ130" s="179"/>
      <c r="GK130" s="179"/>
      <c r="GL130" s="179"/>
      <c r="GM130" s="179"/>
      <c r="GN130" s="179"/>
      <c r="GO130" s="179"/>
      <c r="GP130" s="179"/>
      <c r="GQ130" s="179"/>
      <c r="GR130" s="179"/>
      <c r="GS130" s="179"/>
      <c r="GT130" s="179"/>
      <c r="GU130" s="179"/>
      <c r="GV130" s="179"/>
      <c r="GW130" s="179"/>
      <c r="GX130" s="179"/>
      <c r="GY130" s="179"/>
      <c r="GZ130" s="179"/>
      <c r="HA130" s="179"/>
      <c r="HB130" s="179"/>
      <c r="HC130" s="179"/>
      <c r="HD130" s="179"/>
      <c r="HE130" s="179"/>
      <c r="HF130" s="179"/>
      <c r="HG130" s="179"/>
      <c r="HH130" s="179"/>
      <c r="HI130" s="179"/>
      <c r="HJ130" s="179"/>
      <c r="HK130" s="179"/>
      <c r="HL130" s="179"/>
      <c r="HM130" s="179"/>
      <c r="HN130" s="179"/>
      <c r="HO130" s="179"/>
      <c r="HP130" s="179"/>
      <c r="HQ130" s="179"/>
      <c r="HR130" s="179"/>
      <c r="HS130" s="179"/>
      <c r="HT130" s="179"/>
      <c r="HU130" s="179"/>
      <c r="HV130" s="179"/>
      <c r="HW130" s="179"/>
      <c r="HX130" s="179"/>
      <c r="HY130" s="179"/>
      <c r="HZ130" s="179"/>
      <c r="IA130" s="179"/>
      <c r="IB130" s="179"/>
      <c r="IC130" s="179"/>
      <c r="ID130" s="179"/>
      <c r="IE130" s="179"/>
      <c r="IF130" s="179"/>
      <c r="IG130" s="179"/>
      <c r="IH130" s="179"/>
      <c r="II130" s="179"/>
      <c r="IJ130" s="179"/>
      <c r="IK130" s="179"/>
      <c r="IL130" s="179"/>
      <c r="IM130" s="179"/>
      <c r="IN130" s="179"/>
      <c r="IO130" s="179"/>
      <c r="IP130" s="179"/>
      <c r="IQ130" s="179"/>
      <c r="IR130" s="179"/>
      <c r="IS130" s="179"/>
      <c r="IT130" s="179"/>
    </row>
    <row r="131" spans="1:254" s="73" customFormat="1">
      <c r="A131" s="193" t="s">
        <v>521</v>
      </c>
      <c r="B131" s="230"/>
      <c r="C131" s="194">
        <f>959300/45797.5*C119*1.3</f>
        <v>21299.717189802941</v>
      </c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0"/>
      <c r="AZ131" s="230"/>
      <c r="BA131" s="230"/>
      <c r="BB131" s="230"/>
      <c r="BC131" s="230"/>
      <c r="BD131" s="230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30"/>
      <c r="BS131" s="230"/>
      <c r="BT131" s="230"/>
      <c r="BU131" s="230"/>
      <c r="BV131" s="230"/>
      <c r="BW131" s="230"/>
      <c r="BX131" s="230"/>
      <c r="BY131" s="230"/>
      <c r="BZ131" s="230"/>
      <c r="CA131" s="230"/>
      <c r="CB131" s="230"/>
      <c r="CC131" s="230"/>
      <c r="CD131" s="230"/>
      <c r="CE131" s="230"/>
      <c r="CF131" s="230"/>
      <c r="CG131" s="230"/>
      <c r="CH131" s="230"/>
      <c r="CI131" s="230"/>
      <c r="CJ131" s="230"/>
      <c r="CK131" s="230"/>
      <c r="CL131" s="230"/>
      <c r="CM131" s="230"/>
      <c r="CN131" s="230"/>
      <c r="CO131" s="230"/>
      <c r="CP131" s="230"/>
      <c r="CQ131" s="230"/>
      <c r="CR131" s="230"/>
      <c r="CS131" s="230"/>
      <c r="CT131" s="230"/>
      <c r="CU131" s="230"/>
      <c r="CV131" s="230"/>
      <c r="CW131" s="230"/>
      <c r="CX131" s="230"/>
      <c r="CY131" s="230"/>
      <c r="CZ131" s="230"/>
      <c r="DA131" s="230"/>
      <c r="DB131" s="230"/>
      <c r="DC131" s="230"/>
      <c r="DD131" s="230"/>
      <c r="DE131" s="230"/>
      <c r="DF131" s="230"/>
      <c r="DG131" s="230"/>
      <c r="DH131" s="230"/>
      <c r="DI131" s="230"/>
      <c r="DJ131" s="230"/>
      <c r="DK131" s="230"/>
      <c r="DL131" s="230"/>
      <c r="DM131" s="230"/>
      <c r="DN131" s="230"/>
      <c r="DO131" s="230"/>
      <c r="DP131" s="230"/>
      <c r="DQ131" s="230"/>
      <c r="DR131" s="230"/>
      <c r="DS131" s="230"/>
      <c r="DT131" s="230"/>
      <c r="DU131" s="230"/>
      <c r="DV131" s="230"/>
      <c r="DW131" s="230"/>
      <c r="DX131" s="230"/>
      <c r="DY131" s="230"/>
      <c r="DZ131" s="230"/>
      <c r="EA131" s="230"/>
      <c r="EB131" s="230"/>
      <c r="EC131" s="230"/>
      <c r="ED131" s="230"/>
      <c r="EE131" s="230"/>
      <c r="EF131" s="230"/>
      <c r="EG131" s="230"/>
      <c r="EH131" s="230"/>
      <c r="EI131" s="230"/>
      <c r="EJ131" s="230"/>
      <c r="EK131" s="230"/>
      <c r="EL131" s="230"/>
      <c r="EM131" s="230"/>
      <c r="EN131" s="230"/>
      <c r="EO131" s="230"/>
      <c r="EP131" s="230"/>
      <c r="EQ131" s="230"/>
      <c r="ER131" s="230"/>
      <c r="ES131" s="230"/>
      <c r="ET131" s="230"/>
      <c r="EU131" s="230"/>
      <c r="EV131" s="230"/>
      <c r="EW131" s="230"/>
      <c r="EX131" s="230"/>
      <c r="EY131" s="230"/>
      <c r="EZ131" s="230"/>
      <c r="FA131" s="230"/>
      <c r="FB131" s="230"/>
      <c r="FC131" s="230"/>
      <c r="FD131" s="230"/>
      <c r="FE131" s="230"/>
      <c r="FF131" s="230"/>
      <c r="FG131" s="230"/>
      <c r="FH131" s="230"/>
      <c r="FI131" s="230"/>
      <c r="FJ131" s="230"/>
      <c r="FK131" s="230"/>
      <c r="FL131" s="230"/>
      <c r="FM131" s="230"/>
      <c r="FN131" s="230"/>
      <c r="FO131" s="230"/>
      <c r="FP131" s="230"/>
      <c r="FQ131" s="230"/>
      <c r="FR131" s="230"/>
      <c r="FS131" s="230"/>
      <c r="FT131" s="230"/>
      <c r="FU131" s="230"/>
      <c r="FV131" s="230"/>
      <c r="FW131" s="230"/>
      <c r="FX131" s="230"/>
      <c r="FY131" s="230"/>
      <c r="FZ131" s="230"/>
      <c r="GA131" s="230"/>
      <c r="GB131" s="230"/>
      <c r="GC131" s="230"/>
      <c r="GD131" s="230"/>
      <c r="GE131" s="230"/>
      <c r="GF131" s="230"/>
      <c r="GG131" s="230"/>
      <c r="GH131" s="230"/>
      <c r="GI131" s="230"/>
      <c r="GJ131" s="230"/>
      <c r="GK131" s="230"/>
      <c r="GL131" s="230"/>
      <c r="GM131" s="230"/>
      <c r="GN131" s="230"/>
      <c r="GO131" s="230"/>
      <c r="GP131" s="230"/>
      <c r="GQ131" s="230"/>
      <c r="GR131" s="230"/>
      <c r="GS131" s="230"/>
      <c r="GT131" s="230"/>
      <c r="GU131" s="230"/>
      <c r="GV131" s="230"/>
      <c r="GW131" s="230"/>
      <c r="GX131" s="230"/>
      <c r="GY131" s="230"/>
      <c r="GZ131" s="230"/>
      <c r="HA131" s="230"/>
      <c r="HB131" s="230"/>
      <c r="HC131" s="230"/>
      <c r="HD131" s="230"/>
      <c r="HE131" s="230"/>
      <c r="HF131" s="230"/>
      <c r="HG131" s="230"/>
      <c r="HH131" s="230"/>
      <c r="HI131" s="230"/>
      <c r="HJ131" s="230"/>
      <c r="HK131" s="230"/>
      <c r="HL131" s="230"/>
      <c r="HM131" s="230"/>
      <c r="HN131" s="230"/>
      <c r="HO131" s="230"/>
      <c r="HP131" s="230"/>
      <c r="HQ131" s="230"/>
      <c r="HR131" s="230"/>
      <c r="HS131" s="230"/>
      <c r="HT131" s="230"/>
      <c r="HU131" s="230"/>
      <c r="HV131" s="230"/>
      <c r="HW131" s="230"/>
      <c r="HX131" s="230"/>
      <c r="HY131" s="230"/>
      <c r="HZ131" s="230"/>
      <c r="IA131" s="230"/>
      <c r="IB131" s="230"/>
      <c r="IC131" s="230"/>
      <c r="ID131" s="230"/>
      <c r="IE131" s="230"/>
      <c r="IF131" s="230"/>
      <c r="IG131" s="230"/>
      <c r="IH131" s="230"/>
      <c r="II131" s="230"/>
      <c r="IJ131" s="230"/>
      <c r="IK131" s="230"/>
      <c r="IL131" s="230"/>
      <c r="IM131" s="230"/>
      <c r="IN131" s="230"/>
      <c r="IO131" s="230"/>
      <c r="IP131" s="230"/>
      <c r="IQ131" s="230"/>
      <c r="IR131" s="230"/>
      <c r="IS131" s="230"/>
      <c r="IT131" s="230"/>
    </row>
    <row r="132" spans="1:254" s="73" customFormat="1">
      <c r="A132" s="193" t="s">
        <v>1570</v>
      </c>
      <c r="B132" s="230"/>
      <c r="C132" s="194">
        <f>76356*1.3</f>
        <v>99262.8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30"/>
      <c r="AH132" s="230"/>
      <c r="AI132" s="230"/>
      <c r="AJ132" s="230"/>
      <c r="AK132" s="230"/>
      <c r="AL132" s="230"/>
      <c r="AM132" s="230"/>
      <c r="AN132" s="230"/>
      <c r="AO132" s="230"/>
      <c r="AP132" s="230"/>
      <c r="AQ132" s="230"/>
      <c r="AR132" s="230"/>
      <c r="AS132" s="230"/>
      <c r="AT132" s="230"/>
      <c r="AU132" s="230"/>
      <c r="AV132" s="230"/>
      <c r="AW132" s="230"/>
      <c r="AX132" s="230"/>
      <c r="AY132" s="230"/>
      <c r="AZ132" s="230"/>
      <c r="BA132" s="230"/>
      <c r="BB132" s="230"/>
      <c r="BC132" s="230"/>
      <c r="BD132" s="230"/>
      <c r="BE132" s="230"/>
      <c r="BF132" s="230"/>
      <c r="BG132" s="230"/>
      <c r="BH132" s="230"/>
      <c r="BI132" s="230"/>
      <c r="BJ132" s="230"/>
      <c r="BK132" s="230"/>
      <c r="BL132" s="230"/>
      <c r="BM132" s="230"/>
      <c r="BN132" s="230"/>
      <c r="BO132" s="230"/>
      <c r="BP132" s="230"/>
      <c r="BQ132" s="230"/>
      <c r="BR132" s="230"/>
      <c r="BS132" s="230"/>
      <c r="BT132" s="230"/>
      <c r="BU132" s="230"/>
      <c r="BV132" s="230"/>
      <c r="BW132" s="230"/>
      <c r="BX132" s="230"/>
      <c r="BY132" s="230"/>
      <c r="BZ132" s="230"/>
      <c r="CA132" s="230"/>
      <c r="CB132" s="230"/>
      <c r="CC132" s="230"/>
      <c r="CD132" s="230"/>
      <c r="CE132" s="230"/>
      <c r="CF132" s="230"/>
      <c r="CG132" s="230"/>
      <c r="CH132" s="230"/>
      <c r="CI132" s="230"/>
      <c r="CJ132" s="230"/>
      <c r="CK132" s="230"/>
      <c r="CL132" s="230"/>
      <c r="CM132" s="230"/>
      <c r="CN132" s="230"/>
      <c r="CO132" s="230"/>
      <c r="CP132" s="230"/>
      <c r="CQ132" s="230"/>
      <c r="CR132" s="230"/>
      <c r="CS132" s="230"/>
      <c r="CT132" s="230"/>
      <c r="CU132" s="230"/>
      <c r="CV132" s="230"/>
      <c r="CW132" s="230"/>
      <c r="CX132" s="230"/>
      <c r="CY132" s="230"/>
      <c r="CZ132" s="230"/>
      <c r="DA132" s="230"/>
      <c r="DB132" s="230"/>
      <c r="DC132" s="230"/>
      <c r="DD132" s="230"/>
      <c r="DE132" s="230"/>
      <c r="DF132" s="230"/>
      <c r="DG132" s="230"/>
      <c r="DH132" s="230"/>
      <c r="DI132" s="230"/>
      <c r="DJ132" s="230"/>
      <c r="DK132" s="230"/>
      <c r="DL132" s="230"/>
      <c r="DM132" s="230"/>
      <c r="DN132" s="230"/>
      <c r="DO132" s="230"/>
      <c r="DP132" s="230"/>
      <c r="DQ132" s="230"/>
      <c r="DR132" s="230"/>
      <c r="DS132" s="230"/>
      <c r="DT132" s="230"/>
      <c r="DU132" s="230"/>
      <c r="DV132" s="230"/>
      <c r="DW132" s="230"/>
      <c r="DX132" s="230"/>
      <c r="DY132" s="230"/>
      <c r="DZ132" s="230"/>
      <c r="EA132" s="230"/>
      <c r="EB132" s="230"/>
      <c r="EC132" s="230"/>
      <c r="ED132" s="230"/>
      <c r="EE132" s="230"/>
      <c r="EF132" s="230"/>
      <c r="EG132" s="230"/>
      <c r="EH132" s="230"/>
      <c r="EI132" s="230"/>
      <c r="EJ132" s="230"/>
      <c r="EK132" s="230"/>
      <c r="EL132" s="230"/>
      <c r="EM132" s="230"/>
      <c r="EN132" s="230"/>
      <c r="EO132" s="230"/>
      <c r="EP132" s="230"/>
      <c r="EQ132" s="230"/>
      <c r="ER132" s="230"/>
      <c r="ES132" s="230"/>
      <c r="ET132" s="230"/>
      <c r="EU132" s="230"/>
      <c r="EV132" s="230"/>
      <c r="EW132" s="230"/>
      <c r="EX132" s="230"/>
      <c r="EY132" s="230"/>
      <c r="EZ132" s="230"/>
      <c r="FA132" s="230"/>
      <c r="FB132" s="230"/>
      <c r="FC132" s="230"/>
      <c r="FD132" s="230"/>
      <c r="FE132" s="230"/>
      <c r="FF132" s="230"/>
      <c r="FG132" s="230"/>
      <c r="FH132" s="230"/>
      <c r="FI132" s="230"/>
      <c r="FJ132" s="230"/>
      <c r="FK132" s="230"/>
      <c r="FL132" s="230"/>
      <c r="FM132" s="230"/>
      <c r="FN132" s="230"/>
      <c r="FO132" s="230"/>
      <c r="FP132" s="230"/>
      <c r="FQ132" s="230"/>
      <c r="FR132" s="230"/>
      <c r="FS132" s="230"/>
      <c r="FT132" s="230"/>
      <c r="FU132" s="230"/>
      <c r="FV132" s="230"/>
      <c r="FW132" s="230"/>
      <c r="FX132" s="230"/>
      <c r="FY132" s="230"/>
      <c r="FZ132" s="230"/>
      <c r="GA132" s="230"/>
      <c r="GB132" s="230"/>
      <c r="GC132" s="230"/>
      <c r="GD132" s="230"/>
      <c r="GE132" s="230"/>
      <c r="GF132" s="230"/>
      <c r="GG132" s="230"/>
      <c r="GH132" s="230"/>
      <c r="GI132" s="230"/>
      <c r="GJ132" s="230"/>
      <c r="GK132" s="230"/>
      <c r="GL132" s="230"/>
      <c r="GM132" s="230"/>
      <c r="GN132" s="230"/>
      <c r="GO132" s="230"/>
      <c r="GP132" s="230"/>
      <c r="GQ132" s="230"/>
      <c r="GR132" s="230"/>
      <c r="GS132" s="230"/>
      <c r="GT132" s="230"/>
      <c r="GU132" s="230"/>
      <c r="GV132" s="230"/>
      <c r="GW132" s="230"/>
      <c r="GX132" s="230"/>
      <c r="GY132" s="230"/>
      <c r="GZ132" s="230"/>
      <c r="HA132" s="230"/>
      <c r="HB132" s="230"/>
      <c r="HC132" s="230"/>
      <c r="HD132" s="230"/>
      <c r="HE132" s="230"/>
      <c r="HF132" s="230"/>
      <c r="HG132" s="230"/>
      <c r="HH132" s="230"/>
      <c r="HI132" s="230"/>
      <c r="HJ132" s="230"/>
      <c r="HK132" s="230"/>
      <c r="HL132" s="230"/>
      <c r="HM132" s="230"/>
      <c r="HN132" s="230"/>
      <c r="HO132" s="230"/>
      <c r="HP132" s="230"/>
      <c r="HQ132" s="230"/>
      <c r="HR132" s="230"/>
      <c r="HS132" s="230"/>
      <c r="HT132" s="230"/>
      <c r="HU132" s="230"/>
      <c r="HV132" s="230"/>
      <c r="HW132" s="230"/>
      <c r="HX132" s="230"/>
      <c r="HY132" s="230"/>
      <c r="HZ132" s="230"/>
      <c r="IA132" s="230"/>
      <c r="IB132" s="230"/>
      <c r="IC132" s="230"/>
      <c r="ID132" s="230"/>
      <c r="IE132" s="230"/>
      <c r="IF132" s="230"/>
      <c r="IG132" s="230"/>
      <c r="IH132" s="230"/>
      <c r="II132" s="230"/>
      <c r="IJ132" s="230"/>
      <c r="IK132" s="230"/>
      <c r="IL132" s="230"/>
      <c r="IM132" s="230"/>
      <c r="IN132" s="230"/>
      <c r="IO132" s="230"/>
      <c r="IP132" s="230"/>
      <c r="IQ132" s="230"/>
      <c r="IR132" s="230"/>
      <c r="IS132" s="230"/>
      <c r="IT132" s="230"/>
    </row>
    <row r="133" spans="1:254" s="73" customFormat="1">
      <c r="A133" s="193" t="s">
        <v>987</v>
      </c>
      <c r="B133" s="230"/>
      <c r="C133" s="194">
        <f>0.31*C119*12*1.3</f>
        <v>3782.7192000000005</v>
      </c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M133" s="230"/>
      <c r="AN133" s="230"/>
      <c r="AO133" s="230"/>
      <c r="AP133" s="230"/>
      <c r="AQ133" s="230"/>
      <c r="AR133" s="230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230"/>
      <c r="BC133" s="230"/>
      <c r="BD133" s="230"/>
      <c r="BE133" s="230"/>
      <c r="BF133" s="230"/>
      <c r="BG133" s="230"/>
      <c r="BH133" s="230"/>
      <c r="BI133" s="230"/>
      <c r="BJ133" s="230"/>
      <c r="BK133" s="230"/>
      <c r="BL133" s="230"/>
      <c r="BM133" s="230"/>
      <c r="BN133" s="230"/>
      <c r="BO133" s="230"/>
      <c r="BP133" s="230"/>
      <c r="BQ133" s="230"/>
      <c r="BR133" s="230"/>
      <c r="BS133" s="230"/>
      <c r="BT133" s="230"/>
      <c r="BU133" s="230"/>
      <c r="BV133" s="230"/>
      <c r="BW133" s="230"/>
      <c r="BX133" s="230"/>
      <c r="BY133" s="230"/>
      <c r="BZ133" s="230"/>
      <c r="CA133" s="230"/>
      <c r="CB133" s="230"/>
      <c r="CC133" s="230"/>
      <c r="CD133" s="230"/>
      <c r="CE133" s="230"/>
      <c r="CF133" s="230"/>
      <c r="CG133" s="230"/>
      <c r="CH133" s="230"/>
      <c r="CI133" s="230"/>
      <c r="CJ133" s="230"/>
      <c r="CK133" s="230"/>
      <c r="CL133" s="230"/>
      <c r="CM133" s="230"/>
      <c r="CN133" s="230"/>
      <c r="CO133" s="230"/>
      <c r="CP133" s="230"/>
      <c r="CQ133" s="230"/>
      <c r="CR133" s="230"/>
      <c r="CS133" s="230"/>
      <c r="CT133" s="230"/>
      <c r="CU133" s="230"/>
      <c r="CV133" s="230"/>
      <c r="CW133" s="230"/>
      <c r="CX133" s="230"/>
      <c r="CY133" s="230"/>
      <c r="CZ133" s="230"/>
      <c r="DA133" s="230"/>
      <c r="DB133" s="230"/>
      <c r="DC133" s="230"/>
      <c r="DD133" s="230"/>
      <c r="DE133" s="230"/>
      <c r="DF133" s="230"/>
      <c r="DG133" s="230"/>
      <c r="DH133" s="230"/>
      <c r="DI133" s="230"/>
      <c r="DJ133" s="230"/>
      <c r="DK133" s="230"/>
      <c r="DL133" s="230"/>
      <c r="DM133" s="230"/>
      <c r="DN133" s="230"/>
      <c r="DO133" s="230"/>
      <c r="DP133" s="230"/>
      <c r="DQ133" s="230"/>
      <c r="DR133" s="230"/>
      <c r="DS133" s="230"/>
      <c r="DT133" s="230"/>
      <c r="DU133" s="230"/>
      <c r="DV133" s="230"/>
      <c r="DW133" s="230"/>
      <c r="DX133" s="230"/>
      <c r="DY133" s="230"/>
      <c r="DZ133" s="230"/>
      <c r="EA133" s="230"/>
      <c r="EB133" s="230"/>
      <c r="EC133" s="230"/>
      <c r="ED133" s="230"/>
      <c r="EE133" s="230"/>
      <c r="EF133" s="230"/>
      <c r="EG133" s="230"/>
      <c r="EH133" s="230"/>
      <c r="EI133" s="230"/>
      <c r="EJ133" s="230"/>
      <c r="EK133" s="230"/>
      <c r="EL133" s="230"/>
      <c r="EM133" s="230"/>
      <c r="EN133" s="230"/>
      <c r="EO133" s="230"/>
      <c r="EP133" s="230"/>
      <c r="EQ133" s="230"/>
      <c r="ER133" s="230"/>
      <c r="ES133" s="230"/>
      <c r="ET133" s="230"/>
      <c r="EU133" s="230"/>
      <c r="EV133" s="230"/>
      <c r="EW133" s="230"/>
      <c r="EX133" s="230"/>
      <c r="EY133" s="230"/>
      <c r="EZ133" s="230"/>
      <c r="FA133" s="230"/>
      <c r="FB133" s="230"/>
      <c r="FC133" s="230"/>
      <c r="FD133" s="230"/>
      <c r="FE133" s="230"/>
      <c r="FF133" s="230"/>
      <c r="FG133" s="230"/>
      <c r="FH133" s="230"/>
      <c r="FI133" s="230"/>
      <c r="FJ133" s="230"/>
      <c r="FK133" s="230"/>
      <c r="FL133" s="230"/>
      <c r="FM133" s="230"/>
      <c r="FN133" s="230"/>
      <c r="FO133" s="230"/>
      <c r="FP133" s="230"/>
      <c r="FQ133" s="230"/>
      <c r="FR133" s="230"/>
      <c r="FS133" s="230"/>
      <c r="FT133" s="230"/>
      <c r="FU133" s="230"/>
      <c r="FV133" s="230"/>
      <c r="FW133" s="230"/>
      <c r="FX133" s="230"/>
      <c r="FY133" s="230"/>
      <c r="FZ133" s="230"/>
      <c r="GA133" s="230"/>
      <c r="GB133" s="230"/>
      <c r="GC133" s="230"/>
      <c r="GD133" s="230"/>
      <c r="GE133" s="230"/>
      <c r="GF133" s="230"/>
      <c r="GG133" s="230"/>
      <c r="GH133" s="230"/>
      <c r="GI133" s="230"/>
      <c r="GJ133" s="230"/>
      <c r="GK133" s="230"/>
      <c r="GL133" s="230"/>
      <c r="GM133" s="230"/>
      <c r="GN133" s="230"/>
      <c r="GO133" s="230"/>
      <c r="GP133" s="230"/>
      <c r="GQ133" s="230"/>
      <c r="GR133" s="230"/>
      <c r="GS133" s="230"/>
      <c r="GT133" s="230"/>
      <c r="GU133" s="230"/>
      <c r="GV133" s="230"/>
      <c r="GW133" s="230"/>
      <c r="GX133" s="230"/>
      <c r="GY133" s="230"/>
      <c r="GZ133" s="230"/>
      <c r="HA133" s="230"/>
      <c r="HB133" s="230"/>
      <c r="HC133" s="230"/>
      <c r="HD133" s="230"/>
      <c r="HE133" s="230"/>
      <c r="HF133" s="230"/>
      <c r="HG133" s="230"/>
      <c r="HH133" s="230"/>
      <c r="HI133" s="230"/>
      <c r="HJ133" s="230"/>
      <c r="HK133" s="230"/>
      <c r="HL133" s="230"/>
      <c r="HM133" s="230"/>
      <c r="HN133" s="230"/>
      <c r="HO133" s="230"/>
      <c r="HP133" s="230"/>
      <c r="HQ133" s="230"/>
      <c r="HR133" s="230"/>
      <c r="HS133" s="230"/>
      <c r="HT133" s="230"/>
      <c r="HU133" s="230"/>
      <c r="HV133" s="230"/>
      <c r="HW133" s="230"/>
      <c r="HX133" s="230"/>
      <c r="HY133" s="230"/>
      <c r="HZ133" s="230"/>
      <c r="IA133" s="230"/>
      <c r="IB133" s="230"/>
      <c r="IC133" s="230"/>
      <c r="ID133" s="230"/>
      <c r="IE133" s="230"/>
      <c r="IF133" s="230"/>
      <c r="IG133" s="230"/>
      <c r="IH133" s="230"/>
      <c r="II133" s="230"/>
      <c r="IJ133" s="230"/>
      <c r="IK133" s="230"/>
      <c r="IL133" s="230"/>
      <c r="IM133" s="230"/>
      <c r="IN133" s="230"/>
      <c r="IO133" s="230"/>
      <c r="IP133" s="230"/>
      <c r="IQ133" s="230"/>
      <c r="IR133" s="230"/>
      <c r="IS133" s="230"/>
      <c r="IT133" s="230"/>
    </row>
    <row r="134" spans="1:254" s="73" customFormat="1">
      <c r="A134" s="193" t="s">
        <v>520</v>
      </c>
      <c r="B134" s="230"/>
      <c r="C134" s="194">
        <f>0.89*12*C119*1.3</f>
        <v>10860.064800000002</v>
      </c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0"/>
      <c r="AP134" s="230"/>
      <c r="AQ134" s="230"/>
      <c r="AR134" s="230"/>
      <c r="AS134" s="230"/>
      <c r="AT134" s="230"/>
      <c r="AU134" s="230"/>
      <c r="AV134" s="230"/>
      <c r="AW134" s="230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  <c r="BQ134" s="230"/>
      <c r="BR134" s="230"/>
      <c r="BS134" s="230"/>
      <c r="BT134" s="230"/>
      <c r="BU134" s="230"/>
      <c r="BV134" s="230"/>
      <c r="BW134" s="230"/>
      <c r="BX134" s="230"/>
      <c r="BY134" s="230"/>
      <c r="BZ134" s="230"/>
      <c r="CA134" s="230"/>
      <c r="CB134" s="230"/>
      <c r="CC134" s="230"/>
      <c r="CD134" s="230"/>
      <c r="CE134" s="230"/>
      <c r="CF134" s="230"/>
      <c r="CG134" s="230"/>
      <c r="CH134" s="230"/>
      <c r="CI134" s="230"/>
      <c r="CJ134" s="230"/>
      <c r="CK134" s="230"/>
      <c r="CL134" s="230"/>
      <c r="CM134" s="230"/>
      <c r="CN134" s="230"/>
      <c r="CO134" s="230"/>
      <c r="CP134" s="230"/>
      <c r="CQ134" s="230"/>
      <c r="CR134" s="230"/>
      <c r="CS134" s="230"/>
      <c r="CT134" s="230"/>
      <c r="CU134" s="230"/>
      <c r="CV134" s="230"/>
      <c r="CW134" s="230"/>
      <c r="CX134" s="230"/>
      <c r="CY134" s="230"/>
      <c r="CZ134" s="230"/>
      <c r="DA134" s="230"/>
      <c r="DB134" s="230"/>
      <c r="DC134" s="230"/>
      <c r="DD134" s="230"/>
      <c r="DE134" s="230"/>
      <c r="DF134" s="230"/>
      <c r="DG134" s="230"/>
      <c r="DH134" s="230"/>
      <c r="DI134" s="230"/>
      <c r="DJ134" s="230"/>
      <c r="DK134" s="230"/>
      <c r="DL134" s="230"/>
      <c r="DM134" s="230"/>
      <c r="DN134" s="230"/>
      <c r="DO134" s="230"/>
      <c r="DP134" s="230"/>
      <c r="DQ134" s="230"/>
      <c r="DR134" s="230"/>
      <c r="DS134" s="230"/>
      <c r="DT134" s="230"/>
      <c r="DU134" s="230"/>
      <c r="DV134" s="230"/>
      <c r="DW134" s="230"/>
      <c r="DX134" s="230"/>
      <c r="DY134" s="230"/>
      <c r="DZ134" s="230"/>
      <c r="EA134" s="230"/>
      <c r="EB134" s="230"/>
      <c r="EC134" s="230"/>
      <c r="ED134" s="230"/>
      <c r="EE134" s="230"/>
      <c r="EF134" s="230"/>
      <c r="EG134" s="230"/>
      <c r="EH134" s="230"/>
      <c r="EI134" s="230"/>
      <c r="EJ134" s="230"/>
      <c r="EK134" s="230"/>
      <c r="EL134" s="230"/>
      <c r="EM134" s="230"/>
      <c r="EN134" s="230"/>
      <c r="EO134" s="230"/>
      <c r="EP134" s="230"/>
      <c r="EQ134" s="230"/>
      <c r="ER134" s="230"/>
      <c r="ES134" s="230"/>
      <c r="ET134" s="230"/>
      <c r="EU134" s="230"/>
      <c r="EV134" s="230"/>
      <c r="EW134" s="230"/>
      <c r="EX134" s="230"/>
      <c r="EY134" s="230"/>
      <c r="EZ134" s="230"/>
      <c r="FA134" s="230"/>
      <c r="FB134" s="230"/>
      <c r="FC134" s="230"/>
      <c r="FD134" s="230"/>
      <c r="FE134" s="230"/>
      <c r="FF134" s="230"/>
      <c r="FG134" s="230"/>
      <c r="FH134" s="230"/>
      <c r="FI134" s="230"/>
      <c r="FJ134" s="230"/>
      <c r="FK134" s="230"/>
      <c r="FL134" s="230"/>
      <c r="FM134" s="230"/>
      <c r="FN134" s="230"/>
      <c r="FO134" s="230"/>
      <c r="FP134" s="230"/>
      <c r="FQ134" s="230"/>
      <c r="FR134" s="230"/>
      <c r="FS134" s="230"/>
      <c r="FT134" s="230"/>
      <c r="FU134" s="230"/>
      <c r="FV134" s="230"/>
      <c r="FW134" s="230"/>
      <c r="FX134" s="230"/>
      <c r="FY134" s="230"/>
      <c r="FZ134" s="230"/>
      <c r="GA134" s="230"/>
      <c r="GB134" s="230"/>
      <c r="GC134" s="230"/>
      <c r="GD134" s="230"/>
      <c r="GE134" s="230"/>
      <c r="GF134" s="230"/>
      <c r="GG134" s="230"/>
      <c r="GH134" s="230"/>
      <c r="GI134" s="230"/>
      <c r="GJ134" s="230"/>
      <c r="GK134" s="230"/>
      <c r="GL134" s="230"/>
      <c r="GM134" s="230"/>
      <c r="GN134" s="230"/>
      <c r="GO134" s="230"/>
      <c r="GP134" s="230"/>
      <c r="GQ134" s="230"/>
      <c r="GR134" s="230"/>
      <c r="GS134" s="230"/>
      <c r="GT134" s="230"/>
      <c r="GU134" s="230"/>
      <c r="GV134" s="230"/>
      <c r="GW134" s="230"/>
      <c r="GX134" s="230"/>
      <c r="GY134" s="230"/>
      <c r="GZ134" s="230"/>
      <c r="HA134" s="230"/>
      <c r="HB134" s="230"/>
      <c r="HC134" s="230"/>
      <c r="HD134" s="230"/>
      <c r="HE134" s="230"/>
      <c r="HF134" s="230"/>
      <c r="HG134" s="230"/>
      <c r="HH134" s="230"/>
      <c r="HI134" s="230"/>
      <c r="HJ134" s="230"/>
      <c r="HK134" s="230"/>
      <c r="HL134" s="230"/>
      <c r="HM134" s="230"/>
      <c r="HN134" s="230"/>
      <c r="HO134" s="230"/>
      <c r="HP134" s="230"/>
      <c r="HQ134" s="230"/>
      <c r="HR134" s="230"/>
      <c r="HS134" s="230"/>
      <c r="HT134" s="230"/>
      <c r="HU134" s="230"/>
      <c r="HV134" s="230"/>
      <c r="HW134" s="230"/>
      <c r="HX134" s="230"/>
      <c r="HY134" s="230"/>
      <c r="HZ134" s="230"/>
      <c r="IA134" s="230"/>
      <c r="IB134" s="230"/>
      <c r="IC134" s="230"/>
      <c r="ID134" s="230"/>
      <c r="IE134" s="230"/>
      <c r="IF134" s="230"/>
      <c r="IG134" s="230"/>
      <c r="IH134" s="230"/>
      <c r="II134" s="230"/>
      <c r="IJ134" s="230"/>
      <c r="IK134" s="230"/>
      <c r="IL134" s="230"/>
      <c r="IM134" s="230"/>
      <c r="IN134" s="230"/>
      <c r="IO134" s="230"/>
      <c r="IP134" s="230"/>
      <c r="IQ134" s="230"/>
      <c r="IR134" s="230"/>
      <c r="IS134" s="230"/>
      <c r="IT134" s="230"/>
    </row>
    <row r="135" spans="1:254" s="73" customFormat="1">
      <c r="A135" s="193" t="s">
        <v>1618</v>
      </c>
      <c r="B135" s="230"/>
      <c r="C135" s="194">
        <f>9915.45*1.3</f>
        <v>12890.085000000001</v>
      </c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0"/>
      <c r="AP135" s="230"/>
      <c r="AQ135" s="230"/>
      <c r="AR135" s="230"/>
      <c r="AS135" s="230"/>
      <c r="AT135" s="230"/>
      <c r="AU135" s="230"/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  <c r="BQ135" s="230"/>
      <c r="BR135" s="230"/>
      <c r="BS135" s="230"/>
      <c r="BT135" s="230"/>
      <c r="BU135" s="230"/>
      <c r="BV135" s="230"/>
      <c r="BW135" s="230"/>
      <c r="BX135" s="230"/>
      <c r="BY135" s="230"/>
      <c r="BZ135" s="230"/>
      <c r="CA135" s="230"/>
      <c r="CB135" s="230"/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  <c r="CM135" s="230"/>
      <c r="CN135" s="230"/>
      <c r="CO135" s="230"/>
      <c r="CP135" s="230"/>
      <c r="CQ135" s="230"/>
      <c r="CR135" s="230"/>
      <c r="CS135" s="230"/>
      <c r="CT135" s="230"/>
      <c r="CU135" s="230"/>
      <c r="CV135" s="230"/>
      <c r="CW135" s="230"/>
      <c r="CX135" s="230"/>
      <c r="CY135" s="230"/>
      <c r="CZ135" s="230"/>
      <c r="DA135" s="230"/>
      <c r="DB135" s="230"/>
      <c r="DC135" s="230"/>
      <c r="DD135" s="230"/>
      <c r="DE135" s="230"/>
      <c r="DF135" s="230"/>
      <c r="DG135" s="230"/>
      <c r="DH135" s="230"/>
      <c r="DI135" s="230"/>
      <c r="DJ135" s="230"/>
      <c r="DK135" s="230"/>
      <c r="DL135" s="230"/>
      <c r="DM135" s="230"/>
      <c r="DN135" s="230"/>
      <c r="DO135" s="230"/>
      <c r="DP135" s="230"/>
      <c r="DQ135" s="230"/>
      <c r="DR135" s="230"/>
      <c r="DS135" s="230"/>
      <c r="DT135" s="230"/>
      <c r="DU135" s="230"/>
      <c r="DV135" s="230"/>
      <c r="DW135" s="230"/>
      <c r="DX135" s="230"/>
      <c r="DY135" s="230"/>
      <c r="DZ135" s="230"/>
      <c r="EA135" s="230"/>
      <c r="EB135" s="230"/>
      <c r="EC135" s="230"/>
      <c r="ED135" s="230"/>
      <c r="EE135" s="230"/>
      <c r="EF135" s="230"/>
      <c r="EG135" s="230"/>
      <c r="EH135" s="230"/>
      <c r="EI135" s="230"/>
      <c r="EJ135" s="230"/>
      <c r="EK135" s="230"/>
      <c r="EL135" s="230"/>
      <c r="EM135" s="230"/>
      <c r="EN135" s="230"/>
      <c r="EO135" s="230"/>
      <c r="EP135" s="230"/>
      <c r="EQ135" s="230"/>
      <c r="ER135" s="230"/>
      <c r="ES135" s="230"/>
      <c r="ET135" s="230"/>
      <c r="EU135" s="230"/>
      <c r="EV135" s="230"/>
      <c r="EW135" s="230"/>
      <c r="EX135" s="230"/>
      <c r="EY135" s="230"/>
      <c r="EZ135" s="230"/>
      <c r="FA135" s="230"/>
      <c r="FB135" s="230"/>
      <c r="FC135" s="230"/>
      <c r="FD135" s="230"/>
      <c r="FE135" s="230"/>
      <c r="FF135" s="230"/>
      <c r="FG135" s="230"/>
      <c r="FH135" s="230"/>
      <c r="FI135" s="230"/>
      <c r="FJ135" s="230"/>
      <c r="FK135" s="230"/>
      <c r="FL135" s="230"/>
      <c r="FM135" s="230"/>
      <c r="FN135" s="230"/>
      <c r="FO135" s="230"/>
      <c r="FP135" s="230"/>
      <c r="FQ135" s="230"/>
      <c r="FR135" s="230"/>
      <c r="FS135" s="230"/>
      <c r="FT135" s="230"/>
      <c r="FU135" s="230"/>
      <c r="FV135" s="230"/>
      <c r="FW135" s="230"/>
      <c r="FX135" s="230"/>
      <c r="FY135" s="230"/>
      <c r="FZ135" s="230"/>
      <c r="GA135" s="230"/>
      <c r="GB135" s="230"/>
      <c r="GC135" s="230"/>
      <c r="GD135" s="230"/>
      <c r="GE135" s="230"/>
      <c r="GF135" s="230"/>
      <c r="GG135" s="230"/>
      <c r="GH135" s="230"/>
      <c r="GI135" s="230"/>
      <c r="GJ135" s="230"/>
      <c r="GK135" s="230"/>
      <c r="GL135" s="230"/>
      <c r="GM135" s="230"/>
      <c r="GN135" s="230"/>
      <c r="GO135" s="230"/>
      <c r="GP135" s="230"/>
      <c r="GQ135" s="230"/>
      <c r="GR135" s="230"/>
      <c r="GS135" s="230"/>
      <c r="GT135" s="230"/>
      <c r="GU135" s="230"/>
      <c r="GV135" s="230"/>
      <c r="GW135" s="230"/>
      <c r="GX135" s="230"/>
      <c r="GY135" s="230"/>
      <c r="GZ135" s="230"/>
      <c r="HA135" s="230"/>
      <c r="HB135" s="230"/>
      <c r="HC135" s="230"/>
      <c r="HD135" s="230"/>
      <c r="HE135" s="230"/>
      <c r="HF135" s="230"/>
      <c r="HG135" s="230"/>
      <c r="HH135" s="230"/>
      <c r="HI135" s="230"/>
      <c r="HJ135" s="230"/>
      <c r="HK135" s="230"/>
      <c r="HL135" s="230"/>
      <c r="HM135" s="230"/>
      <c r="HN135" s="230"/>
      <c r="HO135" s="230"/>
      <c r="HP135" s="230"/>
      <c r="HQ135" s="230"/>
      <c r="HR135" s="230"/>
      <c r="HS135" s="230"/>
      <c r="HT135" s="230"/>
      <c r="HU135" s="230"/>
      <c r="HV135" s="230"/>
      <c r="HW135" s="230"/>
      <c r="HX135" s="230"/>
      <c r="HY135" s="230"/>
      <c r="HZ135" s="230"/>
      <c r="IA135" s="230"/>
      <c r="IB135" s="230"/>
      <c r="IC135" s="230"/>
      <c r="ID135" s="230"/>
      <c r="IE135" s="230"/>
      <c r="IF135" s="230"/>
      <c r="IG135" s="230"/>
      <c r="IH135" s="230"/>
      <c r="II135" s="230"/>
      <c r="IJ135" s="230"/>
      <c r="IK135" s="230"/>
      <c r="IL135" s="230"/>
      <c r="IM135" s="230"/>
      <c r="IN135" s="230"/>
      <c r="IO135" s="230"/>
      <c r="IP135" s="230"/>
      <c r="IQ135" s="230"/>
      <c r="IR135" s="230"/>
      <c r="IS135" s="230"/>
      <c r="IT135" s="230"/>
    </row>
    <row r="136" spans="1:254">
      <c r="A136" s="181" t="s">
        <v>600</v>
      </c>
      <c r="B136" s="179"/>
      <c r="C136" s="194">
        <f>98*100*1.3</f>
        <v>12740</v>
      </c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  <c r="BI136" s="179"/>
      <c r="BJ136" s="179"/>
      <c r="BK136" s="179"/>
      <c r="BL136" s="179"/>
      <c r="BM136" s="179"/>
      <c r="BN136" s="179"/>
      <c r="BO136" s="179"/>
      <c r="BP136" s="179"/>
      <c r="BQ136" s="179"/>
      <c r="BR136" s="179"/>
      <c r="BS136" s="179"/>
      <c r="BT136" s="179"/>
      <c r="BU136" s="179"/>
      <c r="BV136" s="179"/>
      <c r="BW136" s="179"/>
      <c r="BX136" s="179"/>
      <c r="BY136" s="179"/>
      <c r="BZ136" s="179"/>
      <c r="CA136" s="179"/>
      <c r="CB136" s="179"/>
      <c r="CC136" s="179"/>
      <c r="CD136" s="179"/>
      <c r="CE136" s="179"/>
      <c r="CF136" s="179"/>
      <c r="CG136" s="179"/>
      <c r="CH136" s="179"/>
      <c r="CI136" s="179"/>
      <c r="CJ136" s="179"/>
      <c r="CK136" s="179"/>
      <c r="CL136" s="179"/>
      <c r="CM136" s="179"/>
      <c r="CN136" s="179"/>
      <c r="CO136" s="179"/>
      <c r="CP136" s="179"/>
      <c r="CQ136" s="179"/>
      <c r="CR136" s="179"/>
      <c r="CS136" s="179"/>
      <c r="CT136" s="179"/>
      <c r="CU136" s="179"/>
      <c r="CV136" s="179"/>
      <c r="CW136" s="179"/>
      <c r="CX136" s="179"/>
      <c r="CY136" s="179"/>
      <c r="CZ136" s="179"/>
      <c r="DA136" s="179"/>
      <c r="DB136" s="179"/>
      <c r="DC136" s="179"/>
      <c r="DD136" s="179"/>
      <c r="DE136" s="179"/>
      <c r="DF136" s="179"/>
      <c r="DG136" s="179"/>
      <c r="DH136" s="179"/>
      <c r="DI136" s="179"/>
      <c r="DJ136" s="179"/>
      <c r="DK136" s="179"/>
      <c r="DL136" s="179"/>
      <c r="DM136" s="179"/>
      <c r="DN136" s="179"/>
      <c r="DO136" s="179"/>
      <c r="DP136" s="179"/>
      <c r="DQ136" s="179"/>
      <c r="DR136" s="179"/>
      <c r="DS136" s="179"/>
      <c r="DT136" s="179"/>
      <c r="DU136" s="179"/>
      <c r="DV136" s="179"/>
      <c r="DW136" s="179"/>
      <c r="DX136" s="179"/>
      <c r="DY136" s="179"/>
      <c r="DZ136" s="179"/>
      <c r="EA136" s="179"/>
      <c r="EB136" s="179"/>
      <c r="EC136" s="179"/>
      <c r="ED136" s="179"/>
      <c r="EE136" s="179"/>
      <c r="EF136" s="179"/>
      <c r="EG136" s="179"/>
      <c r="EH136" s="179"/>
      <c r="EI136" s="179"/>
      <c r="EJ136" s="179"/>
      <c r="EK136" s="179"/>
      <c r="EL136" s="179"/>
      <c r="EM136" s="179"/>
      <c r="EN136" s="179"/>
      <c r="EO136" s="179"/>
      <c r="EP136" s="179"/>
      <c r="EQ136" s="179"/>
      <c r="ER136" s="179"/>
      <c r="ES136" s="179"/>
      <c r="ET136" s="179"/>
      <c r="EU136" s="179"/>
      <c r="EV136" s="179"/>
      <c r="EW136" s="179"/>
      <c r="EX136" s="179"/>
      <c r="EY136" s="179"/>
      <c r="EZ136" s="179"/>
      <c r="FA136" s="179"/>
      <c r="FB136" s="179"/>
      <c r="FC136" s="179"/>
      <c r="FD136" s="179"/>
      <c r="FE136" s="179"/>
      <c r="FF136" s="179"/>
      <c r="FG136" s="179"/>
      <c r="FH136" s="179"/>
      <c r="FI136" s="179"/>
      <c r="FJ136" s="179"/>
      <c r="FK136" s="179"/>
      <c r="FL136" s="179"/>
      <c r="FM136" s="179"/>
      <c r="FN136" s="179"/>
      <c r="FO136" s="179"/>
      <c r="FP136" s="179"/>
      <c r="FQ136" s="179"/>
      <c r="FR136" s="179"/>
      <c r="FS136" s="179"/>
      <c r="FT136" s="179"/>
      <c r="FU136" s="179"/>
      <c r="FV136" s="179"/>
      <c r="FW136" s="179"/>
      <c r="FX136" s="179"/>
      <c r="FY136" s="179"/>
      <c r="FZ136" s="179"/>
      <c r="GA136" s="179"/>
      <c r="GB136" s="179"/>
      <c r="GC136" s="179"/>
      <c r="GD136" s="179"/>
      <c r="GE136" s="179"/>
      <c r="GF136" s="179"/>
      <c r="GG136" s="179"/>
      <c r="GH136" s="179"/>
      <c r="GI136" s="179"/>
      <c r="GJ136" s="179"/>
      <c r="GK136" s="179"/>
      <c r="GL136" s="179"/>
      <c r="GM136" s="179"/>
      <c r="GN136" s="179"/>
      <c r="GO136" s="179"/>
      <c r="GP136" s="179"/>
      <c r="GQ136" s="179"/>
      <c r="GR136" s="179"/>
      <c r="GS136" s="179"/>
      <c r="GT136" s="179"/>
      <c r="GU136" s="179"/>
      <c r="GV136" s="179"/>
      <c r="GW136" s="179"/>
      <c r="GX136" s="179"/>
      <c r="GY136" s="179"/>
      <c r="GZ136" s="179"/>
      <c r="HA136" s="179"/>
      <c r="HB136" s="179"/>
      <c r="HC136" s="179"/>
      <c r="HD136" s="179"/>
      <c r="HE136" s="179"/>
      <c r="HF136" s="179"/>
      <c r="HG136" s="179"/>
      <c r="HH136" s="179"/>
      <c r="HI136" s="179"/>
      <c r="HJ136" s="179"/>
      <c r="HK136" s="179"/>
      <c r="HL136" s="179"/>
      <c r="HM136" s="179"/>
      <c r="HN136" s="179"/>
      <c r="HO136" s="179"/>
      <c r="HP136" s="179"/>
      <c r="HQ136" s="179"/>
      <c r="HR136" s="179"/>
      <c r="HS136" s="179"/>
      <c r="HT136" s="179"/>
      <c r="HU136" s="179"/>
      <c r="HV136" s="179"/>
      <c r="HW136" s="179"/>
      <c r="HX136" s="179"/>
      <c r="HY136" s="179"/>
      <c r="HZ136" s="179"/>
      <c r="IA136" s="179"/>
      <c r="IB136" s="179"/>
      <c r="IC136" s="179"/>
      <c r="ID136" s="179"/>
      <c r="IE136" s="179"/>
      <c r="IF136" s="179"/>
      <c r="IG136" s="179"/>
      <c r="IH136" s="179"/>
      <c r="II136" s="179"/>
      <c r="IJ136" s="179"/>
      <c r="IK136" s="179"/>
      <c r="IL136" s="179"/>
      <c r="IM136" s="179"/>
      <c r="IN136" s="179"/>
      <c r="IO136" s="179"/>
      <c r="IP136" s="179"/>
      <c r="IQ136" s="179"/>
      <c r="IR136" s="179"/>
      <c r="IS136" s="179"/>
      <c r="IT136" s="179"/>
    </row>
    <row r="137" spans="1:254" s="73" customFormat="1">
      <c r="A137" s="193" t="s">
        <v>601</v>
      </c>
      <c r="B137" s="230"/>
      <c r="C137" s="194">
        <f>0.02*9100*13*1.302*1.3</f>
        <v>4004.6916000000006</v>
      </c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30"/>
      <c r="AU137" s="230"/>
      <c r="AV137" s="230"/>
      <c r="AW137" s="230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30"/>
      <c r="BI137" s="230"/>
      <c r="BJ137" s="230"/>
      <c r="BK137" s="230"/>
      <c r="BL137" s="230"/>
      <c r="BM137" s="230"/>
      <c r="BN137" s="230"/>
      <c r="BO137" s="230"/>
      <c r="BP137" s="230"/>
      <c r="BQ137" s="230"/>
      <c r="BR137" s="230"/>
      <c r="BS137" s="230"/>
      <c r="BT137" s="230"/>
      <c r="BU137" s="230"/>
      <c r="BV137" s="230"/>
      <c r="BW137" s="230"/>
      <c r="BX137" s="230"/>
      <c r="BY137" s="230"/>
      <c r="BZ137" s="230"/>
      <c r="CA137" s="230"/>
      <c r="CB137" s="230"/>
      <c r="CC137" s="230"/>
      <c r="CD137" s="230"/>
      <c r="CE137" s="230"/>
      <c r="CF137" s="230"/>
      <c r="CG137" s="230"/>
      <c r="CH137" s="230"/>
      <c r="CI137" s="230"/>
      <c r="CJ137" s="230"/>
      <c r="CK137" s="230"/>
      <c r="CL137" s="230"/>
      <c r="CM137" s="230"/>
      <c r="CN137" s="230"/>
      <c r="CO137" s="230"/>
      <c r="CP137" s="230"/>
      <c r="CQ137" s="230"/>
      <c r="CR137" s="230"/>
      <c r="CS137" s="230"/>
      <c r="CT137" s="230"/>
      <c r="CU137" s="230"/>
      <c r="CV137" s="230"/>
      <c r="CW137" s="230"/>
      <c r="CX137" s="230"/>
      <c r="CY137" s="230"/>
      <c r="CZ137" s="230"/>
      <c r="DA137" s="230"/>
      <c r="DB137" s="230"/>
      <c r="DC137" s="230"/>
      <c r="DD137" s="230"/>
      <c r="DE137" s="230"/>
      <c r="DF137" s="230"/>
      <c r="DG137" s="230"/>
      <c r="DH137" s="230"/>
      <c r="DI137" s="230"/>
      <c r="DJ137" s="230"/>
      <c r="DK137" s="230"/>
      <c r="DL137" s="230"/>
      <c r="DM137" s="230"/>
      <c r="DN137" s="230"/>
      <c r="DO137" s="230"/>
      <c r="DP137" s="230"/>
      <c r="DQ137" s="230"/>
      <c r="DR137" s="230"/>
      <c r="DS137" s="230"/>
      <c r="DT137" s="230"/>
      <c r="DU137" s="230"/>
      <c r="DV137" s="230"/>
      <c r="DW137" s="230"/>
      <c r="DX137" s="230"/>
      <c r="DY137" s="230"/>
      <c r="DZ137" s="230"/>
      <c r="EA137" s="230"/>
      <c r="EB137" s="230"/>
      <c r="EC137" s="230"/>
      <c r="ED137" s="230"/>
      <c r="EE137" s="230"/>
      <c r="EF137" s="230"/>
      <c r="EG137" s="230"/>
      <c r="EH137" s="230"/>
      <c r="EI137" s="230"/>
      <c r="EJ137" s="230"/>
      <c r="EK137" s="230"/>
      <c r="EL137" s="230"/>
      <c r="EM137" s="230"/>
      <c r="EN137" s="230"/>
      <c r="EO137" s="230"/>
      <c r="EP137" s="230"/>
      <c r="EQ137" s="230"/>
      <c r="ER137" s="230"/>
      <c r="ES137" s="230"/>
      <c r="ET137" s="230"/>
      <c r="EU137" s="230"/>
      <c r="EV137" s="230"/>
      <c r="EW137" s="230"/>
      <c r="EX137" s="230"/>
      <c r="EY137" s="230"/>
      <c r="EZ137" s="230"/>
      <c r="FA137" s="230"/>
      <c r="FB137" s="230"/>
      <c r="FC137" s="230"/>
      <c r="FD137" s="230"/>
      <c r="FE137" s="230"/>
      <c r="FF137" s="230"/>
      <c r="FG137" s="230"/>
      <c r="FH137" s="230"/>
      <c r="FI137" s="230"/>
      <c r="FJ137" s="230"/>
      <c r="FK137" s="230"/>
      <c r="FL137" s="230"/>
      <c r="FM137" s="230"/>
      <c r="FN137" s="230"/>
      <c r="FO137" s="230"/>
      <c r="FP137" s="230"/>
      <c r="FQ137" s="230"/>
      <c r="FR137" s="230"/>
      <c r="FS137" s="230"/>
      <c r="FT137" s="230"/>
      <c r="FU137" s="230"/>
      <c r="FV137" s="230"/>
      <c r="FW137" s="230"/>
      <c r="FX137" s="230"/>
      <c r="FY137" s="230"/>
      <c r="FZ137" s="230"/>
      <c r="GA137" s="230"/>
      <c r="GB137" s="230"/>
      <c r="GC137" s="230"/>
      <c r="GD137" s="230"/>
      <c r="GE137" s="230"/>
      <c r="GF137" s="230"/>
      <c r="GG137" s="230"/>
      <c r="GH137" s="230"/>
      <c r="GI137" s="230"/>
      <c r="GJ137" s="230"/>
      <c r="GK137" s="230"/>
      <c r="GL137" s="230"/>
      <c r="GM137" s="230"/>
      <c r="GN137" s="230"/>
      <c r="GO137" s="230"/>
      <c r="GP137" s="230"/>
      <c r="GQ137" s="230"/>
      <c r="GR137" s="230"/>
      <c r="GS137" s="230"/>
      <c r="GT137" s="230"/>
      <c r="GU137" s="230"/>
      <c r="GV137" s="230"/>
      <c r="GW137" s="230"/>
      <c r="GX137" s="230"/>
      <c r="GY137" s="230"/>
      <c r="GZ137" s="230"/>
      <c r="HA137" s="230"/>
      <c r="HB137" s="230"/>
      <c r="HC137" s="230"/>
      <c r="HD137" s="230"/>
      <c r="HE137" s="230"/>
      <c r="HF137" s="230"/>
      <c r="HG137" s="230"/>
      <c r="HH137" s="230"/>
      <c r="HI137" s="230"/>
      <c r="HJ137" s="230"/>
      <c r="HK137" s="230"/>
      <c r="HL137" s="230"/>
      <c r="HM137" s="230"/>
      <c r="HN137" s="230"/>
      <c r="HO137" s="230"/>
      <c r="HP137" s="230"/>
      <c r="HQ137" s="230"/>
      <c r="HR137" s="230"/>
      <c r="HS137" s="230"/>
      <c r="HT137" s="230"/>
      <c r="HU137" s="230"/>
      <c r="HV137" s="230"/>
      <c r="HW137" s="230"/>
      <c r="HX137" s="230"/>
      <c r="HY137" s="230"/>
      <c r="HZ137" s="230"/>
      <c r="IA137" s="230"/>
      <c r="IB137" s="230"/>
      <c r="IC137" s="230"/>
      <c r="ID137" s="230"/>
      <c r="IE137" s="230"/>
      <c r="IF137" s="230"/>
      <c r="IG137" s="230"/>
      <c r="IH137" s="230"/>
      <c r="II137" s="230"/>
      <c r="IJ137" s="230"/>
      <c r="IK137" s="230"/>
      <c r="IL137" s="230"/>
      <c r="IM137" s="230"/>
      <c r="IN137" s="230"/>
      <c r="IO137" s="230"/>
      <c r="IP137" s="230"/>
      <c r="IQ137" s="230"/>
      <c r="IR137" s="230"/>
      <c r="IS137" s="230"/>
      <c r="IT137" s="230"/>
    </row>
    <row r="138" spans="1:254">
      <c r="A138" s="181" t="s">
        <v>602</v>
      </c>
      <c r="B138" s="179"/>
      <c r="C138" s="194">
        <f>C115</f>
        <v>295.65000000000003</v>
      </c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9"/>
      <c r="BW138" s="179"/>
      <c r="BX138" s="179"/>
      <c r="BY138" s="179"/>
      <c r="BZ138" s="179"/>
      <c r="CA138" s="179"/>
      <c r="CB138" s="179"/>
      <c r="CC138" s="179"/>
      <c r="CD138" s="179"/>
      <c r="CE138" s="179"/>
      <c r="CF138" s="179"/>
      <c r="CG138" s="179"/>
      <c r="CH138" s="179"/>
      <c r="CI138" s="179"/>
      <c r="CJ138" s="179"/>
      <c r="CK138" s="179"/>
      <c r="CL138" s="179"/>
      <c r="CM138" s="179"/>
      <c r="CN138" s="179"/>
      <c r="CO138" s="179"/>
      <c r="CP138" s="179"/>
      <c r="CQ138" s="179"/>
      <c r="CR138" s="179"/>
      <c r="CS138" s="179"/>
      <c r="CT138" s="179"/>
      <c r="CU138" s="179"/>
      <c r="CV138" s="179"/>
      <c r="CW138" s="179"/>
      <c r="CX138" s="179"/>
      <c r="CY138" s="179"/>
      <c r="CZ138" s="179"/>
      <c r="DA138" s="179"/>
      <c r="DB138" s="179"/>
      <c r="DC138" s="179"/>
      <c r="DD138" s="179"/>
      <c r="DE138" s="179"/>
      <c r="DF138" s="179"/>
      <c r="DG138" s="179"/>
      <c r="DH138" s="179"/>
      <c r="DI138" s="179"/>
      <c r="DJ138" s="179"/>
      <c r="DK138" s="179"/>
      <c r="DL138" s="179"/>
      <c r="DM138" s="179"/>
      <c r="DN138" s="179"/>
      <c r="DO138" s="179"/>
      <c r="DP138" s="179"/>
      <c r="DQ138" s="179"/>
      <c r="DR138" s="179"/>
      <c r="DS138" s="179"/>
      <c r="DT138" s="179"/>
      <c r="DU138" s="179"/>
      <c r="DV138" s="179"/>
      <c r="DW138" s="179"/>
      <c r="DX138" s="179"/>
      <c r="DY138" s="179"/>
      <c r="DZ138" s="179"/>
      <c r="EA138" s="179"/>
      <c r="EB138" s="179"/>
      <c r="EC138" s="179"/>
      <c r="ED138" s="179"/>
      <c r="EE138" s="179"/>
      <c r="EF138" s="179"/>
      <c r="EG138" s="179"/>
      <c r="EH138" s="179"/>
      <c r="EI138" s="179"/>
      <c r="EJ138" s="179"/>
      <c r="EK138" s="179"/>
      <c r="EL138" s="179"/>
      <c r="EM138" s="179"/>
      <c r="EN138" s="179"/>
      <c r="EO138" s="179"/>
      <c r="EP138" s="179"/>
      <c r="EQ138" s="179"/>
      <c r="ER138" s="179"/>
      <c r="ES138" s="179"/>
      <c r="ET138" s="179"/>
      <c r="EU138" s="179"/>
      <c r="EV138" s="179"/>
      <c r="EW138" s="179"/>
      <c r="EX138" s="179"/>
      <c r="EY138" s="179"/>
      <c r="EZ138" s="179"/>
      <c r="FA138" s="179"/>
      <c r="FB138" s="179"/>
      <c r="FC138" s="179"/>
      <c r="FD138" s="179"/>
      <c r="FE138" s="179"/>
      <c r="FF138" s="179"/>
      <c r="FG138" s="179"/>
      <c r="FH138" s="179"/>
      <c r="FI138" s="179"/>
      <c r="FJ138" s="179"/>
      <c r="FK138" s="179"/>
      <c r="FL138" s="179"/>
      <c r="FM138" s="179"/>
      <c r="FN138" s="179"/>
      <c r="FO138" s="179"/>
      <c r="FP138" s="179"/>
      <c r="FQ138" s="179"/>
      <c r="FR138" s="179"/>
      <c r="FS138" s="179"/>
      <c r="FT138" s="179"/>
      <c r="FU138" s="179"/>
      <c r="FV138" s="179"/>
      <c r="FW138" s="179"/>
      <c r="FX138" s="179"/>
      <c r="FY138" s="179"/>
      <c r="FZ138" s="179"/>
      <c r="GA138" s="179"/>
      <c r="GB138" s="179"/>
      <c r="GC138" s="179"/>
      <c r="GD138" s="179"/>
      <c r="GE138" s="179"/>
      <c r="GF138" s="179"/>
      <c r="GG138" s="179"/>
      <c r="GH138" s="179"/>
      <c r="GI138" s="179"/>
      <c r="GJ138" s="179"/>
      <c r="GK138" s="179"/>
      <c r="GL138" s="179"/>
      <c r="GM138" s="179"/>
      <c r="GN138" s="179"/>
      <c r="GO138" s="179"/>
      <c r="GP138" s="179"/>
      <c r="GQ138" s="179"/>
      <c r="GR138" s="179"/>
      <c r="GS138" s="179"/>
      <c r="GT138" s="179"/>
      <c r="GU138" s="179"/>
      <c r="GV138" s="179"/>
      <c r="GW138" s="179"/>
      <c r="GX138" s="179"/>
      <c r="GY138" s="179"/>
      <c r="GZ138" s="179"/>
      <c r="HA138" s="179"/>
      <c r="HB138" s="179"/>
      <c r="HC138" s="179"/>
      <c r="HD138" s="179"/>
      <c r="HE138" s="179"/>
      <c r="HF138" s="179"/>
      <c r="HG138" s="179"/>
      <c r="HH138" s="179"/>
      <c r="HI138" s="179"/>
      <c r="HJ138" s="179"/>
      <c r="HK138" s="179"/>
      <c r="HL138" s="179"/>
      <c r="HM138" s="179"/>
      <c r="HN138" s="179"/>
      <c r="HO138" s="179"/>
      <c r="HP138" s="179"/>
      <c r="HQ138" s="179"/>
      <c r="HR138" s="179"/>
      <c r="HS138" s="179"/>
      <c r="HT138" s="179"/>
      <c r="HU138" s="179"/>
      <c r="HV138" s="179"/>
      <c r="HW138" s="179"/>
      <c r="HX138" s="179"/>
      <c r="HY138" s="179"/>
      <c r="HZ138" s="179"/>
      <c r="IA138" s="179"/>
      <c r="IB138" s="179"/>
      <c r="IC138" s="179"/>
      <c r="ID138" s="179"/>
      <c r="IE138" s="179"/>
      <c r="IF138" s="179"/>
      <c r="IG138" s="179"/>
      <c r="IH138" s="179"/>
      <c r="II138" s="179"/>
      <c r="IJ138" s="179"/>
      <c r="IK138" s="179"/>
      <c r="IL138" s="179"/>
      <c r="IM138" s="179"/>
      <c r="IN138" s="179"/>
      <c r="IO138" s="179"/>
      <c r="IP138" s="179"/>
      <c r="IQ138" s="179"/>
      <c r="IR138" s="179"/>
      <c r="IS138" s="179"/>
      <c r="IT138" s="179"/>
    </row>
    <row r="139" spans="1:254">
      <c r="A139" s="181" t="s">
        <v>603</v>
      </c>
      <c r="B139" s="179"/>
      <c r="C139" s="194">
        <f>C138*130*1.302*1.3</f>
        <v>65054.234700000015</v>
      </c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179"/>
      <c r="BN139" s="179"/>
      <c r="BO139" s="179"/>
      <c r="BP139" s="179"/>
      <c r="BQ139" s="179"/>
      <c r="BR139" s="179"/>
      <c r="BS139" s="179"/>
      <c r="BT139" s="179"/>
      <c r="BU139" s="179"/>
      <c r="BV139" s="179"/>
      <c r="BW139" s="179"/>
      <c r="BX139" s="179"/>
      <c r="BY139" s="179"/>
      <c r="BZ139" s="179"/>
      <c r="CA139" s="179"/>
      <c r="CB139" s="179"/>
      <c r="CC139" s="179"/>
      <c r="CD139" s="179"/>
      <c r="CE139" s="179"/>
      <c r="CF139" s="179"/>
      <c r="CG139" s="179"/>
      <c r="CH139" s="179"/>
      <c r="CI139" s="179"/>
      <c r="CJ139" s="179"/>
      <c r="CK139" s="179"/>
      <c r="CL139" s="179"/>
      <c r="CM139" s="179"/>
      <c r="CN139" s="179"/>
      <c r="CO139" s="179"/>
      <c r="CP139" s="179"/>
      <c r="CQ139" s="179"/>
      <c r="CR139" s="179"/>
      <c r="CS139" s="179"/>
      <c r="CT139" s="179"/>
      <c r="CU139" s="179"/>
      <c r="CV139" s="179"/>
      <c r="CW139" s="179"/>
      <c r="CX139" s="179"/>
      <c r="CY139" s="179"/>
      <c r="CZ139" s="179"/>
      <c r="DA139" s="179"/>
      <c r="DB139" s="179"/>
      <c r="DC139" s="179"/>
      <c r="DD139" s="179"/>
      <c r="DE139" s="179"/>
      <c r="DF139" s="179"/>
      <c r="DG139" s="179"/>
      <c r="DH139" s="179"/>
      <c r="DI139" s="179"/>
      <c r="DJ139" s="179"/>
      <c r="DK139" s="179"/>
      <c r="DL139" s="179"/>
      <c r="DM139" s="179"/>
      <c r="DN139" s="179"/>
      <c r="DO139" s="179"/>
      <c r="DP139" s="179"/>
      <c r="DQ139" s="179"/>
      <c r="DR139" s="179"/>
      <c r="DS139" s="179"/>
      <c r="DT139" s="179"/>
      <c r="DU139" s="179"/>
      <c r="DV139" s="179"/>
      <c r="DW139" s="179"/>
      <c r="DX139" s="179"/>
      <c r="DY139" s="179"/>
      <c r="DZ139" s="179"/>
      <c r="EA139" s="179"/>
      <c r="EB139" s="179"/>
      <c r="EC139" s="179"/>
      <c r="ED139" s="179"/>
      <c r="EE139" s="179"/>
      <c r="EF139" s="179"/>
      <c r="EG139" s="179"/>
      <c r="EH139" s="179"/>
      <c r="EI139" s="179"/>
      <c r="EJ139" s="179"/>
      <c r="EK139" s="179"/>
      <c r="EL139" s="179"/>
      <c r="EM139" s="179"/>
      <c r="EN139" s="179"/>
      <c r="EO139" s="179"/>
      <c r="EP139" s="179"/>
      <c r="EQ139" s="179"/>
      <c r="ER139" s="179"/>
      <c r="ES139" s="179"/>
      <c r="ET139" s="179"/>
      <c r="EU139" s="179"/>
      <c r="EV139" s="179"/>
      <c r="EW139" s="179"/>
      <c r="EX139" s="179"/>
      <c r="EY139" s="179"/>
      <c r="EZ139" s="179"/>
      <c r="FA139" s="179"/>
      <c r="FB139" s="179"/>
      <c r="FC139" s="179"/>
      <c r="FD139" s="179"/>
      <c r="FE139" s="179"/>
      <c r="FF139" s="179"/>
      <c r="FG139" s="179"/>
      <c r="FH139" s="179"/>
      <c r="FI139" s="179"/>
      <c r="FJ139" s="179"/>
      <c r="FK139" s="179"/>
      <c r="FL139" s="179"/>
      <c r="FM139" s="179"/>
      <c r="FN139" s="179"/>
      <c r="FO139" s="179"/>
      <c r="FP139" s="179"/>
      <c r="FQ139" s="179"/>
      <c r="FR139" s="179"/>
      <c r="FS139" s="179"/>
      <c r="FT139" s="179"/>
      <c r="FU139" s="179"/>
      <c r="FV139" s="179"/>
      <c r="FW139" s="179"/>
      <c r="FX139" s="179"/>
      <c r="FY139" s="179"/>
      <c r="FZ139" s="179"/>
      <c r="GA139" s="179"/>
      <c r="GB139" s="179"/>
      <c r="GC139" s="179"/>
      <c r="GD139" s="179"/>
      <c r="GE139" s="179"/>
      <c r="GF139" s="179"/>
      <c r="GG139" s="179"/>
      <c r="GH139" s="179"/>
      <c r="GI139" s="179"/>
      <c r="GJ139" s="179"/>
      <c r="GK139" s="179"/>
      <c r="GL139" s="179"/>
      <c r="GM139" s="179"/>
      <c r="GN139" s="179"/>
      <c r="GO139" s="179"/>
      <c r="GP139" s="179"/>
      <c r="GQ139" s="179"/>
      <c r="GR139" s="179"/>
      <c r="GS139" s="179"/>
      <c r="GT139" s="179"/>
      <c r="GU139" s="179"/>
      <c r="GV139" s="179"/>
      <c r="GW139" s="179"/>
      <c r="GX139" s="179"/>
      <c r="GY139" s="179"/>
      <c r="GZ139" s="179"/>
      <c r="HA139" s="179"/>
      <c r="HB139" s="179"/>
      <c r="HC139" s="179"/>
      <c r="HD139" s="179"/>
      <c r="HE139" s="179"/>
      <c r="HF139" s="179"/>
      <c r="HG139" s="179"/>
      <c r="HH139" s="179"/>
      <c r="HI139" s="179"/>
      <c r="HJ139" s="179"/>
      <c r="HK139" s="179"/>
      <c r="HL139" s="179"/>
      <c r="HM139" s="179"/>
      <c r="HN139" s="179"/>
      <c r="HO139" s="179"/>
      <c r="HP139" s="179"/>
      <c r="HQ139" s="179"/>
      <c r="HR139" s="179"/>
      <c r="HS139" s="179"/>
      <c r="HT139" s="179"/>
      <c r="HU139" s="179"/>
      <c r="HV139" s="179"/>
      <c r="HW139" s="179"/>
      <c r="HX139" s="179"/>
      <c r="HY139" s="179"/>
      <c r="HZ139" s="179"/>
      <c r="IA139" s="179"/>
      <c r="IB139" s="179"/>
      <c r="IC139" s="179"/>
      <c r="ID139" s="179"/>
      <c r="IE139" s="179"/>
      <c r="IF139" s="179"/>
      <c r="IG139" s="179"/>
      <c r="IH139" s="179"/>
      <c r="II139" s="179"/>
      <c r="IJ139" s="179"/>
      <c r="IK139" s="179"/>
      <c r="IL139" s="179"/>
      <c r="IM139" s="179"/>
      <c r="IN139" s="179"/>
      <c r="IO139" s="179"/>
      <c r="IP139" s="179"/>
      <c r="IQ139" s="179"/>
      <c r="IR139" s="179"/>
      <c r="IS139" s="179"/>
      <c r="IT139" s="179"/>
    </row>
    <row r="140" spans="1:254">
      <c r="A140" s="181" t="s">
        <v>1620</v>
      </c>
      <c r="B140" s="179"/>
      <c r="C140" s="194">
        <f>C124</f>
        <v>4849.6400000000003</v>
      </c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79"/>
      <c r="BJ140" s="179"/>
      <c r="BK140" s="179"/>
      <c r="BL140" s="179"/>
      <c r="BM140" s="179"/>
      <c r="BN140" s="179"/>
      <c r="BO140" s="179"/>
      <c r="BP140" s="179"/>
      <c r="BQ140" s="179"/>
      <c r="BR140" s="179"/>
      <c r="BS140" s="179"/>
      <c r="BT140" s="179"/>
      <c r="BU140" s="179"/>
      <c r="BV140" s="179"/>
      <c r="BW140" s="179"/>
      <c r="BX140" s="179"/>
      <c r="BY140" s="179"/>
      <c r="BZ140" s="179"/>
      <c r="CA140" s="179"/>
      <c r="CB140" s="179"/>
      <c r="CC140" s="179"/>
      <c r="CD140" s="179"/>
      <c r="CE140" s="179"/>
      <c r="CF140" s="179"/>
      <c r="CG140" s="179"/>
      <c r="CH140" s="179"/>
      <c r="CI140" s="179"/>
      <c r="CJ140" s="179"/>
      <c r="CK140" s="179"/>
      <c r="CL140" s="179"/>
      <c r="CM140" s="179"/>
      <c r="CN140" s="179"/>
      <c r="CO140" s="179"/>
      <c r="CP140" s="179"/>
      <c r="CQ140" s="179"/>
      <c r="CR140" s="179"/>
      <c r="CS140" s="179"/>
      <c r="CT140" s="179"/>
      <c r="CU140" s="179"/>
      <c r="CV140" s="179"/>
      <c r="CW140" s="179"/>
      <c r="CX140" s="179"/>
      <c r="CY140" s="179"/>
      <c r="CZ140" s="179"/>
      <c r="DA140" s="179"/>
      <c r="DB140" s="179"/>
      <c r="DC140" s="179"/>
      <c r="DD140" s="179"/>
      <c r="DE140" s="179"/>
      <c r="DF140" s="179"/>
      <c r="DG140" s="179"/>
      <c r="DH140" s="179"/>
      <c r="DI140" s="179"/>
      <c r="DJ140" s="179"/>
      <c r="DK140" s="179"/>
      <c r="DL140" s="179"/>
      <c r="DM140" s="179"/>
      <c r="DN140" s="179"/>
      <c r="DO140" s="179"/>
      <c r="DP140" s="179"/>
      <c r="DQ140" s="179"/>
      <c r="DR140" s="179"/>
      <c r="DS140" s="179"/>
      <c r="DT140" s="179"/>
      <c r="DU140" s="179"/>
      <c r="DV140" s="179"/>
      <c r="DW140" s="179"/>
      <c r="DX140" s="179"/>
      <c r="DY140" s="179"/>
      <c r="DZ140" s="179"/>
      <c r="EA140" s="179"/>
      <c r="EB140" s="179"/>
      <c r="EC140" s="179"/>
      <c r="ED140" s="179"/>
      <c r="EE140" s="179"/>
      <c r="EF140" s="179"/>
      <c r="EG140" s="179"/>
      <c r="EH140" s="179"/>
      <c r="EI140" s="179"/>
      <c r="EJ140" s="179"/>
      <c r="EK140" s="179"/>
      <c r="EL140" s="179"/>
      <c r="EM140" s="179"/>
      <c r="EN140" s="179"/>
      <c r="EO140" s="179"/>
      <c r="EP140" s="179"/>
      <c r="EQ140" s="179"/>
      <c r="ER140" s="179"/>
      <c r="ES140" s="179"/>
      <c r="ET140" s="179"/>
      <c r="EU140" s="179"/>
      <c r="EV140" s="179"/>
      <c r="EW140" s="179"/>
      <c r="EX140" s="179"/>
      <c r="EY140" s="179"/>
      <c r="EZ140" s="179"/>
      <c r="FA140" s="179"/>
      <c r="FB140" s="179"/>
      <c r="FC140" s="179"/>
      <c r="FD140" s="179"/>
      <c r="FE140" s="179"/>
      <c r="FF140" s="179"/>
      <c r="FG140" s="179"/>
      <c r="FH140" s="179"/>
      <c r="FI140" s="179"/>
      <c r="FJ140" s="179"/>
      <c r="FK140" s="179"/>
      <c r="FL140" s="179"/>
      <c r="FM140" s="179"/>
      <c r="FN140" s="179"/>
      <c r="FO140" s="179"/>
      <c r="FP140" s="179"/>
      <c r="FQ140" s="179"/>
      <c r="FR140" s="179"/>
      <c r="FS140" s="179"/>
      <c r="FT140" s="179"/>
      <c r="FU140" s="179"/>
      <c r="FV140" s="179"/>
      <c r="FW140" s="179"/>
      <c r="FX140" s="179"/>
      <c r="FY140" s="179"/>
      <c r="FZ140" s="179"/>
      <c r="GA140" s="179"/>
      <c r="GB140" s="179"/>
      <c r="GC140" s="179"/>
      <c r="GD140" s="179"/>
      <c r="GE140" s="179"/>
      <c r="GF140" s="179"/>
      <c r="GG140" s="179"/>
      <c r="GH140" s="179"/>
      <c r="GI140" s="179"/>
      <c r="GJ140" s="179"/>
      <c r="GK140" s="179"/>
      <c r="GL140" s="179"/>
      <c r="GM140" s="179"/>
      <c r="GN140" s="179"/>
      <c r="GO140" s="179"/>
      <c r="GP140" s="179"/>
      <c r="GQ140" s="179"/>
      <c r="GR140" s="179"/>
      <c r="GS140" s="179"/>
      <c r="GT140" s="179"/>
      <c r="GU140" s="179"/>
      <c r="GV140" s="179"/>
      <c r="GW140" s="179"/>
      <c r="GX140" s="179"/>
      <c r="GY140" s="179"/>
      <c r="GZ140" s="179"/>
      <c r="HA140" s="179"/>
      <c r="HB140" s="179"/>
      <c r="HC140" s="179"/>
      <c r="HD140" s="179"/>
      <c r="HE140" s="179"/>
      <c r="HF140" s="179"/>
      <c r="HG140" s="179"/>
      <c r="HH140" s="179"/>
      <c r="HI140" s="179"/>
      <c r="HJ140" s="179"/>
      <c r="HK140" s="179"/>
      <c r="HL140" s="179"/>
      <c r="HM140" s="179"/>
      <c r="HN140" s="179"/>
      <c r="HO140" s="179"/>
      <c r="HP140" s="179"/>
      <c r="HQ140" s="179"/>
      <c r="HR140" s="179"/>
      <c r="HS140" s="179"/>
      <c r="HT140" s="179"/>
      <c r="HU140" s="179"/>
      <c r="HV140" s="179"/>
      <c r="HW140" s="179"/>
      <c r="HX140" s="179"/>
      <c r="HY140" s="179"/>
      <c r="HZ140" s="179"/>
      <c r="IA140" s="179"/>
      <c r="IB140" s="179"/>
      <c r="IC140" s="179"/>
      <c r="ID140" s="179"/>
      <c r="IE140" s="179"/>
      <c r="IF140" s="179"/>
      <c r="IG140" s="179"/>
      <c r="IH140" s="179"/>
      <c r="II140" s="179"/>
      <c r="IJ140" s="179"/>
      <c r="IK140" s="179"/>
      <c r="IL140" s="179"/>
      <c r="IM140" s="179"/>
      <c r="IN140" s="179"/>
      <c r="IO140" s="179"/>
      <c r="IP140" s="179"/>
      <c r="IQ140" s="179"/>
      <c r="IR140" s="179"/>
      <c r="IS140" s="179"/>
      <c r="IT140" s="179"/>
    </row>
    <row r="141" spans="1:254" s="73" customFormat="1">
      <c r="A141" s="193" t="s">
        <v>1611</v>
      </c>
      <c r="B141" s="230"/>
      <c r="C141" s="194">
        <f>(5572.56+801.42)*1.3</f>
        <v>8286.1740000000009</v>
      </c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230"/>
      <c r="AH141" s="230"/>
      <c r="AI141" s="230"/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  <c r="AT141" s="230"/>
      <c r="AU141" s="230"/>
      <c r="AV141" s="230"/>
      <c r="AW141" s="230"/>
      <c r="AX141" s="230"/>
      <c r="AY141" s="230"/>
      <c r="AZ141" s="230"/>
      <c r="BA141" s="230"/>
      <c r="BB141" s="230"/>
      <c r="BC141" s="230"/>
      <c r="BD141" s="230"/>
      <c r="BE141" s="230"/>
      <c r="BF141" s="230"/>
      <c r="BG141" s="230"/>
      <c r="BH141" s="230"/>
      <c r="BI141" s="230"/>
      <c r="BJ141" s="230"/>
      <c r="BK141" s="230"/>
      <c r="BL141" s="230"/>
      <c r="BM141" s="230"/>
      <c r="BN141" s="230"/>
      <c r="BO141" s="230"/>
      <c r="BP141" s="230"/>
      <c r="BQ141" s="230"/>
      <c r="BR141" s="230"/>
      <c r="BS141" s="230"/>
      <c r="BT141" s="230"/>
      <c r="BU141" s="230"/>
      <c r="BV141" s="230"/>
      <c r="BW141" s="230"/>
      <c r="BX141" s="230"/>
      <c r="BY141" s="230"/>
      <c r="BZ141" s="230"/>
      <c r="CA141" s="230"/>
      <c r="CB141" s="230"/>
      <c r="CC141" s="230"/>
      <c r="CD141" s="230"/>
      <c r="CE141" s="230"/>
      <c r="CF141" s="230"/>
      <c r="CG141" s="230"/>
      <c r="CH141" s="230"/>
      <c r="CI141" s="230"/>
      <c r="CJ141" s="230"/>
      <c r="CK141" s="230"/>
      <c r="CL141" s="230"/>
      <c r="CM141" s="230"/>
      <c r="CN141" s="230"/>
      <c r="CO141" s="230"/>
      <c r="CP141" s="230"/>
      <c r="CQ141" s="230"/>
      <c r="CR141" s="230"/>
      <c r="CS141" s="230"/>
      <c r="CT141" s="230"/>
      <c r="CU141" s="230"/>
      <c r="CV141" s="230"/>
      <c r="CW141" s="230"/>
      <c r="CX141" s="230"/>
      <c r="CY141" s="230"/>
      <c r="CZ141" s="230"/>
      <c r="DA141" s="230"/>
      <c r="DB141" s="230"/>
      <c r="DC141" s="230"/>
      <c r="DD141" s="230"/>
      <c r="DE141" s="230"/>
      <c r="DF141" s="230"/>
      <c r="DG141" s="230"/>
      <c r="DH141" s="230"/>
      <c r="DI141" s="230"/>
      <c r="DJ141" s="230"/>
      <c r="DK141" s="230"/>
      <c r="DL141" s="230"/>
      <c r="DM141" s="230"/>
      <c r="DN141" s="230"/>
      <c r="DO141" s="230"/>
      <c r="DP141" s="230"/>
      <c r="DQ141" s="230"/>
      <c r="DR141" s="230"/>
      <c r="DS141" s="230"/>
      <c r="DT141" s="230"/>
      <c r="DU141" s="230"/>
      <c r="DV141" s="230"/>
      <c r="DW141" s="230"/>
      <c r="DX141" s="230"/>
      <c r="DY141" s="230"/>
      <c r="DZ141" s="230"/>
      <c r="EA141" s="230"/>
      <c r="EB141" s="230"/>
      <c r="EC141" s="230"/>
      <c r="ED141" s="230"/>
      <c r="EE141" s="230"/>
      <c r="EF141" s="230"/>
      <c r="EG141" s="230"/>
      <c r="EH141" s="230"/>
      <c r="EI141" s="230"/>
      <c r="EJ141" s="230"/>
      <c r="EK141" s="230"/>
      <c r="EL141" s="230"/>
      <c r="EM141" s="230"/>
      <c r="EN141" s="230"/>
      <c r="EO141" s="230"/>
      <c r="EP141" s="230"/>
      <c r="EQ141" s="230"/>
      <c r="ER141" s="230"/>
      <c r="ES141" s="230"/>
      <c r="ET141" s="230"/>
      <c r="EU141" s="230"/>
      <c r="EV141" s="230"/>
      <c r="EW141" s="230"/>
      <c r="EX141" s="230"/>
      <c r="EY141" s="230"/>
      <c r="EZ141" s="230"/>
      <c r="FA141" s="230"/>
      <c r="FB141" s="230"/>
      <c r="FC141" s="230"/>
      <c r="FD141" s="230"/>
      <c r="FE141" s="230"/>
      <c r="FF141" s="230"/>
      <c r="FG141" s="230"/>
      <c r="FH141" s="230"/>
      <c r="FI141" s="230"/>
      <c r="FJ141" s="230"/>
      <c r="FK141" s="230"/>
      <c r="FL141" s="230"/>
      <c r="FM141" s="230"/>
      <c r="FN141" s="230"/>
      <c r="FO141" s="230"/>
      <c r="FP141" s="230"/>
      <c r="FQ141" s="230"/>
      <c r="FR141" s="230"/>
      <c r="FS141" s="230"/>
      <c r="FT141" s="230"/>
      <c r="FU141" s="230"/>
      <c r="FV141" s="230"/>
      <c r="FW141" s="230"/>
      <c r="FX141" s="230"/>
      <c r="FY141" s="230"/>
      <c r="FZ141" s="230"/>
      <c r="GA141" s="230"/>
      <c r="GB141" s="230"/>
      <c r="GC141" s="230"/>
      <c r="GD141" s="230"/>
      <c r="GE141" s="230"/>
      <c r="GF141" s="230"/>
      <c r="GG141" s="230"/>
      <c r="GH141" s="230"/>
      <c r="GI141" s="230"/>
      <c r="GJ141" s="230"/>
      <c r="GK141" s="230"/>
      <c r="GL141" s="230"/>
      <c r="GM141" s="230"/>
      <c r="GN141" s="230"/>
      <c r="GO141" s="230"/>
      <c r="GP141" s="230"/>
      <c r="GQ141" s="230"/>
      <c r="GR141" s="230"/>
      <c r="GS141" s="230"/>
      <c r="GT141" s="230"/>
      <c r="GU141" s="230"/>
      <c r="GV141" s="230"/>
      <c r="GW141" s="230"/>
      <c r="GX141" s="230"/>
      <c r="GY141" s="230"/>
      <c r="GZ141" s="230"/>
      <c r="HA141" s="230"/>
      <c r="HB141" s="230"/>
      <c r="HC141" s="230"/>
      <c r="HD141" s="230"/>
      <c r="HE141" s="230"/>
      <c r="HF141" s="230"/>
      <c r="HG141" s="230"/>
      <c r="HH141" s="230"/>
      <c r="HI141" s="230"/>
      <c r="HJ141" s="230"/>
      <c r="HK141" s="230"/>
      <c r="HL141" s="230"/>
      <c r="HM141" s="230"/>
      <c r="HN141" s="230"/>
      <c r="HO141" s="230"/>
      <c r="HP141" s="230"/>
      <c r="HQ141" s="230"/>
      <c r="HR141" s="230"/>
      <c r="HS141" s="230"/>
      <c r="HT141" s="230"/>
      <c r="HU141" s="230"/>
      <c r="HV141" s="230"/>
      <c r="HW141" s="230"/>
      <c r="HX141" s="230"/>
      <c r="HY141" s="230"/>
      <c r="HZ141" s="230"/>
      <c r="IA141" s="230"/>
      <c r="IB141" s="230"/>
      <c r="IC141" s="230"/>
      <c r="ID141" s="230"/>
      <c r="IE141" s="230"/>
      <c r="IF141" s="230"/>
      <c r="IG141" s="230"/>
      <c r="IH141" s="230"/>
      <c r="II141" s="230"/>
      <c r="IJ141" s="230"/>
      <c r="IK141" s="230"/>
      <c r="IL141" s="230"/>
      <c r="IM141" s="230"/>
      <c r="IN141" s="230"/>
      <c r="IO141" s="230"/>
      <c r="IP141" s="230"/>
      <c r="IQ141" s="230"/>
      <c r="IR141" s="230"/>
      <c r="IS141" s="230"/>
      <c r="IT141" s="230"/>
    </row>
    <row r="142" spans="1:254">
      <c r="A142" s="181" t="s">
        <v>724</v>
      </c>
      <c r="B142" s="179"/>
      <c r="C142" s="194">
        <f>20434.78*1.3</f>
        <v>26565.214</v>
      </c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  <c r="BI142" s="179"/>
      <c r="BJ142" s="179"/>
      <c r="BK142" s="179"/>
      <c r="BL142" s="179"/>
      <c r="BM142" s="179"/>
      <c r="BN142" s="179"/>
      <c r="BO142" s="179"/>
      <c r="BP142" s="179"/>
      <c r="BQ142" s="179"/>
      <c r="BR142" s="179"/>
      <c r="BS142" s="179"/>
      <c r="BT142" s="179"/>
      <c r="BU142" s="179"/>
      <c r="BV142" s="179"/>
      <c r="BW142" s="179"/>
      <c r="BX142" s="179"/>
      <c r="BY142" s="179"/>
      <c r="BZ142" s="179"/>
      <c r="CA142" s="179"/>
      <c r="CB142" s="179"/>
      <c r="CC142" s="179"/>
      <c r="CD142" s="179"/>
      <c r="CE142" s="179"/>
      <c r="CF142" s="179"/>
      <c r="CG142" s="179"/>
      <c r="CH142" s="179"/>
      <c r="CI142" s="179"/>
      <c r="CJ142" s="179"/>
      <c r="CK142" s="179"/>
      <c r="CL142" s="179"/>
      <c r="CM142" s="179"/>
      <c r="CN142" s="179"/>
      <c r="CO142" s="179"/>
      <c r="CP142" s="179"/>
      <c r="CQ142" s="179"/>
      <c r="CR142" s="179"/>
      <c r="CS142" s="179"/>
      <c r="CT142" s="179"/>
      <c r="CU142" s="179"/>
      <c r="CV142" s="179"/>
      <c r="CW142" s="179"/>
      <c r="CX142" s="179"/>
      <c r="CY142" s="179"/>
      <c r="CZ142" s="179"/>
      <c r="DA142" s="179"/>
      <c r="DB142" s="179"/>
      <c r="DC142" s="179"/>
      <c r="DD142" s="179"/>
      <c r="DE142" s="179"/>
      <c r="DF142" s="179"/>
      <c r="DG142" s="179"/>
      <c r="DH142" s="179"/>
      <c r="DI142" s="179"/>
      <c r="DJ142" s="179"/>
      <c r="DK142" s="179"/>
      <c r="DL142" s="179"/>
      <c r="DM142" s="179"/>
      <c r="DN142" s="179"/>
      <c r="DO142" s="179"/>
      <c r="DP142" s="179"/>
      <c r="DQ142" s="179"/>
      <c r="DR142" s="179"/>
      <c r="DS142" s="179"/>
      <c r="DT142" s="179"/>
      <c r="DU142" s="179"/>
      <c r="DV142" s="179"/>
      <c r="DW142" s="179"/>
      <c r="DX142" s="179"/>
      <c r="DY142" s="179"/>
      <c r="DZ142" s="179"/>
      <c r="EA142" s="179"/>
      <c r="EB142" s="179"/>
      <c r="EC142" s="179"/>
      <c r="ED142" s="179"/>
      <c r="EE142" s="179"/>
      <c r="EF142" s="179"/>
      <c r="EG142" s="179"/>
      <c r="EH142" s="179"/>
      <c r="EI142" s="179"/>
      <c r="EJ142" s="179"/>
      <c r="EK142" s="179"/>
      <c r="EL142" s="179"/>
      <c r="EM142" s="179"/>
      <c r="EN142" s="179"/>
      <c r="EO142" s="179"/>
      <c r="EP142" s="179"/>
      <c r="EQ142" s="179"/>
      <c r="ER142" s="179"/>
      <c r="ES142" s="179"/>
      <c r="ET142" s="179"/>
      <c r="EU142" s="179"/>
      <c r="EV142" s="179"/>
      <c r="EW142" s="179"/>
      <c r="EX142" s="179"/>
      <c r="EY142" s="179"/>
      <c r="EZ142" s="179"/>
      <c r="FA142" s="179"/>
      <c r="FB142" s="179"/>
      <c r="FC142" s="179"/>
      <c r="FD142" s="179"/>
      <c r="FE142" s="179"/>
      <c r="FF142" s="179"/>
      <c r="FG142" s="179"/>
      <c r="FH142" s="179"/>
      <c r="FI142" s="179"/>
      <c r="FJ142" s="179"/>
      <c r="FK142" s="179"/>
      <c r="FL142" s="179"/>
      <c r="FM142" s="179"/>
      <c r="FN142" s="179"/>
      <c r="FO142" s="179"/>
      <c r="FP142" s="179"/>
      <c r="FQ142" s="179"/>
      <c r="FR142" s="179"/>
      <c r="FS142" s="179"/>
      <c r="FT142" s="179"/>
      <c r="FU142" s="179"/>
      <c r="FV142" s="179"/>
      <c r="FW142" s="179"/>
      <c r="FX142" s="179"/>
      <c r="FY142" s="179"/>
      <c r="FZ142" s="179"/>
      <c r="GA142" s="179"/>
      <c r="GB142" s="179"/>
      <c r="GC142" s="179"/>
      <c r="GD142" s="179"/>
      <c r="GE142" s="179"/>
      <c r="GF142" s="179"/>
      <c r="GG142" s="179"/>
      <c r="GH142" s="179"/>
      <c r="GI142" s="179"/>
      <c r="GJ142" s="179"/>
      <c r="GK142" s="179"/>
      <c r="GL142" s="179"/>
      <c r="GM142" s="179"/>
      <c r="GN142" s="179"/>
      <c r="GO142" s="179"/>
      <c r="GP142" s="179"/>
      <c r="GQ142" s="179"/>
      <c r="GR142" s="179"/>
      <c r="GS142" s="179"/>
      <c r="GT142" s="179"/>
      <c r="GU142" s="179"/>
      <c r="GV142" s="179"/>
      <c r="GW142" s="179"/>
      <c r="GX142" s="179"/>
      <c r="GY142" s="179"/>
      <c r="GZ142" s="179"/>
      <c r="HA142" s="179"/>
      <c r="HB142" s="179"/>
      <c r="HC142" s="179"/>
      <c r="HD142" s="179"/>
      <c r="HE142" s="179"/>
      <c r="HF142" s="179"/>
      <c r="HG142" s="179"/>
      <c r="HH142" s="179"/>
      <c r="HI142" s="179"/>
      <c r="HJ142" s="179"/>
      <c r="HK142" s="179"/>
      <c r="HL142" s="179"/>
      <c r="HM142" s="179"/>
      <c r="HN142" s="179"/>
      <c r="HO142" s="179"/>
      <c r="HP142" s="179"/>
      <c r="HQ142" s="179"/>
      <c r="HR142" s="179"/>
      <c r="HS142" s="179"/>
      <c r="HT142" s="179"/>
      <c r="HU142" s="179"/>
      <c r="HV142" s="179"/>
      <c r="HW142" s="179"/>
      <c r="HX142" s="179"/>
      <c r="HY142" s="179"/>
      <c r="HZ142" s="179"/>
      <c r="IA142" s="179"/>
      <c r="IB142" s="179"/>
      <c r="IC142" s="179"/>
      <c r="ID142" s="179"/>
      <c r="IE142" s="179"/>
      <c r="IF142" s="179"/>
      <c r="IG142" s="179"/>
      <c r="IH142" s="179"/>
      <c r="II142" s="179"/>
      <c r="IJ142" s="179"/>
      <c r="IK142" s="179"/>
      <c r="IL142" s="179"/>
      <c r="IM142" s="179"/>
      <c r="IN142" s="179"/>
      <c r="IO142" s="179"/>
      <c r="IP142" s="179"/>
      <c r="IQ142" s="179"/>
      <c r="IR142" s="179"/>
      <c r="IS142" s="179"/>
      <c r="IT142" s="179"/>
    </row>
    <row r="143" spans="1:254">
      <c r="A143" s="181" t="s">
        <v>1617</v>
      </c>
      <c r="B143" s="179"/>
      <c r="C143" s="194">
        <v>710.11</v>
      </c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  <c r="BH143" s="179"/>
      <c r="BI143" s="179"/>
      <c r="BJ143" s="179"/>
      <c r="BK143" s="179"/>
      <c r="BL143" s="179"/>
      <c r="BM143" s="179"/>
      <c r="BN143" s="179"/>
      <c r="BO143" s="179"/>
      <c r="BP143" s="179"/>
      <c r="BQ143" s="179"/>
      <c r="BR143" s="179"/>
      <c r="BS143" s="179"/>
      <c r="BT143" s="179"/>
      <c r="BU143" s="179"/>
      <c r="BV143" s="179"/>
      <c r="BW143" s="179"/>
      <c r="BX143" s="179"/>
      <c r="BY143" s="179"/>
      <c r="BZ143" s="179"/>
      <c r="CA143" s="179"/>
      <c r="CB143" s="179"/>
      <c r="CC143" s="179"/>
      <c r="CD143" s="179"/>
      <c r="CE143" s="179"/>
      <c r="CF143" s="179"/>
      <c r="CG143" s="179"/>
      <c r="CH143" s="179"/>
      <c r="CI143" s="179"/>
      <c r="CJ143" s="179"/>
      <c r="CK143" s="179"/>
      <c r="CL143" s="179"/>
      <c r="CM143" s="179"/>
      <c r="CN143" s="179"/>
      <c r="CO143" s="179"/>
      <c r="CP143" s="179"/>
      <c r="CQ143" s="179"/>
      <c r="CR143" s="179"/>
      <c r="CS143" s="179"/>
      <c r="CT143" s="179"/>
      <c r="CU143" s="179"/>
      <c r="CV143" s="179"/>
      <c r="CW143" s="179"/>
      <c r="CX143" s="179"/>
      <c r="CY143" s="179"/>
      <c r="CZ143" s="179"/>
      <c r="DA143" s="179"/>
      <c r="DB143" s="179"/>
      <c r="DC143" s="179"/>
      <c r="DD143" s="179"/>
      <c r="DE143" s="179"/>
      <c r="DF143" s="179"/>
      <c r="DG143" s="179"/>
      <c r="DH143" s="179"/>
      <c r="DI143" s="179"/>
      <c r="DJ143" s="179"/>
      <c r="DK143" s="179"/>
      <c r="DL143" s="179"/>
      <c r="DM143" s="179"/>
      <c r="DN143" s="179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9"/>
      <c r="EF143" s="179"/>
      <c r="EG143" s="179"/>
      <c r="EH143" s="179"/>
      <c r="EI143" s="179"/>
      <c r="EJ143" s="179"/>
      <c r="EK143" s="179"/>
      <c r="EL143" s="179"/>
      <c r="EM143" s="179"/>
      <c r="EN143" s="179"/>
      <c r="EO143" s="179"/>
      <c r="EP143" s="179"/>
      <c r="EQ143" s="179"/>
      <c r="ER143" s="179"/>
      <c r="ES143" s="179"/>
      <c r="ET143" s="179"/>
      <c r="EU143" s="179"/>
      <c r="EV143" s="179"/>
      <c r="EW143" s="179"/>
      <c r="EX143" s="179"/>
      <c r="EY143" s="179"/>
      <c r="EZ143" s="179"/>
      <c r="FA143" s="179"/>
      <c r="FB143" s="179"/>
      <c r="FC143" s="179"/>
      <c r="FD143" s="179"/>
      <c r="FE143" s="179"/>
      <c r="FF143" s="179"/>
      <c r="FG143" s="179"/>
      <c r="FH143" s="179"/>
      <c r="FI143" s="179"/>
      <c r="FJ143" s="179"/>
      <c r="FK143" s="179"/>
      <c r="FL143" s="179"/>
      <c r="FM143" s="179"/>
      <c r="FN143" s="179"/>
      <c r="FO143" s="179"/>
      <c r="FP143" s="179"/>
      <c r="FQ143" s="179"/>
      <c r="FR143" s="179"/>
      <c r="FS143" s="179"/>
      <c r="FT143" s="179"/>
      <c r="FU143" s="179"/>
      <c r="FV143" s="179"/>
      <c r="FW143" s="179"/>
      <c r="FX143" s="179"/>
      <c r="FY143" s="179"/>
      <c r="FZ143" s="179"/>
      <c r="GA143" s="179"/>
      <c r="GB143" s="179"/>
      <c r="GC143" s="179"/>
      <c r="GD143" s="179"/>
      <c r="GE143" s="179"/>
      <c r="GF143" s="179"/>
      <c r="GG143" s="179"/>
      <c r="GH143" s="179"/>
      <c r="GI143" s="179"/>
      <c r="GJ143" s="179"/>
      <c r="GK143" s="179"/>
      <c r="GL143" s="179"/>
      <c r="GM143" s="179"/>
      <c r="GN143" s="179"/>
      <c r="GO143" s="179"/>
      <c r="GP143" s="179"/>
      <c r="GQ143" s="179"/>
      <c r="GR143" s="179"/>
      <c r="GS143" s="179"/>
      <c r="GT143" s="179"/>
      <c r="GU143" s="179"/>
      <c r="GV143" s="179"/>
      <c r="GW143" s="179"/>
      <c r="GX143" s="179"/>
      <c r="GY143" s="179"/>
      <c r="GZ143" s="179"/>
      <c r="HA143" s="179"/>
      <c r="HB143" s="179"/>
      <c r="HC143" s="179"/>
      <c r="HD143" s="179"/>
      <c r="HE143" s="179"/>
      <c r="HF143" s="179"/>
      <c r="HG143" s="179"/>
      <c r="HH143" s="179"/>
      <c r="HI143" s="179"/>
      <c r="HJ143" s="179"/>
      <c r="HK143" s="179"/>
      <c r="HL143" s="179"/>
      <c r="HM143" s="179"/>
      <c r="HN143" s="179"/>
      <c r="HO143" s="179"/>
      <c r="HP143" s="179"/>
      <c r="HQ143" s="179"/>
      <c r="HR143" s="179"/>
      <c r="HS143" s="179"/>
      <c r="HT143" s="179"/>
      <c r="HU143" s="179"/>
      <c r="HV143" s="179"/>
      <c r="HW143" s="179"/>
      <c r="HX143" s="179"/>
      <c r="HY143" s="179"/>
      <c r="HZ143" s="179"/>
      <c r="IA143" s="179"/>
      <c r="IB143" s="179"/>
      <c r="IC143" s="179"/>
      <c r="ID143" s="179"/>
      <c r="IE143" s="179"/>
      <c r="IF143" s="179"/>
      <c r="IG143" s="179"/>
      <c r="IH143" s="179"/>
      <c r="II143" s="179"/>
      <c r="IJ143" s="179"/>
      <c r="IK143" s="179"/>
      <c r="IL143" s="179"/>
      <c r="IM143" s="179"/>
      <c r="IN143" s="179"/>
      <c r="IO143" s="179"/>
      <c r="IP143" s="179"/>
      <c r="IQ143" s="179"/>
      <c r="IR143" s="179"/>
      <c r="IS143" s="179"/>
      <c r="IT143" s="179"/>
    </row>
    <row r="144" spans="1:254">
      <c r="A144" s="181" t="s">
        <v>1762</v>
      </c>
      <c r="B144" s="179"/>
      <c r="C144" s="194">
        <f>C127-C129-C143</f>
        <v>9011.0487101970211</v>
      </c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79"/>
      <c r="AZ144" s="179"/>
      <c r="BA144" s="179"/>
      <c r="BB144" s="179"/>
      <c r="BC144" s="179"/>
      <c r="BD144" s="179"/>
      <c r="BE144" s="179"/>
      <c r="BF144" s="179"/>
      <c r="BG144" s="179"/>
      <c r="BH144" s="179"/>
      <c r="BI144" s="179"/>
      <c r="BJ144" s="179"/>
      <c r="BK144" s="179"/>
      <c r="BL144" s="179"/>
      <c r="BM144" s="179"/>
      <c r="BN144" s="179"/>
      <c r="BO144" s="179"/>
      <c r="BP144" s="179"/>
      <c r="BQ144" s="179"/>
      <c r="BR144" s="179"/>
      <c r="BS144" s="179"/>
      <c r="BT144" s="179"/>
      <c r="BU144" s="179"/>
      <c r="BV144" s="179"/>
      <c r="BW144" s="179"/>
      <c r="BX144" s="179"/>
      <c r="BY144" s="179"/>
      <c r="BZ144" s="179"/>
      <c r="CA144" s="179"/>
      <c r="CB144" s="179"/>
      <c r="CC144" s="179"/>
      <c r="CD144" s="179"/>
      <c r="CE144" s="179"/>
      <c r="CF144" s="179"/>
      <c r="CG144" s="179"/>
      <c r="CH144" s="179"/>
      <c r="CI144" s="179"/>
      <c r="CJ144" s="179"/>
      <c r="CK144" s="179"/>
      <c r="CL144" s="179"/>
      <c r="CM144" s="179"/>
      <c r="CN144" s="179"/>
      <c r="CO144" s="179"/>
      <c r="CP144" s="179"/>
      <c r="CQ144" s="179"/>
      <c r="CR144" s="179"/>
      <c r="CS144" s="179"/>
      <c r="CT144" s="179"/>
      <c r="CU144" s="179"/>
      <c r="CV144" s="179"/>
      <c r="CW144" s="179"/>
      <c r="CX144" s="179"/>
      <c r="CY144" s="179"/>
      <c r="CZ144" s="179"/>
      <c r="DA144" s="179"/>
      <c r="DB144" s="179"/>
      <c r="DC144" s="179"/>
      <c r="DD144" s="179"/>
      <c r="DE144" s="179"/>
      <c r="DF144" s="179"/>
      <c r="DG144" s="179"/>
      <c r="DH144" s="179"/>
      <c r="DI144" s="179"/>
      <c r="DJ144" s="179"/>
      <c r="DK144" s="179"/>
      <c r="DL144" s="179"/>
      <c r="DM144" s="179"/>
      <c r="DN144" s="179"/>
      <c r="DO144" s="179"/>
      <c r="DP144" s="179"/>
      <c r="DQ144" s="179"/>
      <c r="DR144" s="179"/>
      <c r="DS144" s="179"/>
      <c r="DT144" s="179"/>
      <c r="DU144" s="179"/>
      <c r="DV144" s="179"/>
      <c r="DW144" s="179"/>
      <c r="DX144" s="179"/>
      <c r="DY144" s="179"/>
      <c r="DZ144" s="179"/>
      <c r="EA144" s="179"/>
      <c r="EB144" s="179"/>
      <c r="EC144" s="179"/>
      <c r="ED144" s="179"/>
      <c r="EE144" s="179"/>
      <c r="EF144" s="179"/>
      <c r="EG144" s="179"/>
      <c r="EH144" s="179"/>
      <c r="EI144" s="179"/>
      <c r="EJ144" s="179"/>
      <c r="EK144" s="179"/>
      <c r="EL144" s="179"/>
      <c r="EM144" s="179"/>
      <c r="EN144" s="179"/>
      <c r="EO144" s="179"/>
      <c r="EP144" s="179"/>
      <c r="EQ144" s="179"/>
      <c r="ER144" s="179"/>
      <c r="ES144" s="179"/>
      <c r="ET144" s="179"/>
      <c r="EU144" s="179"/>
      <c r="EV144" s="179"/>
      <c r="EW144" s="179"/>
      <c r="EX144" s="179"/>
      <c r="EY144" s="179"/>
      <c r="EZ144" s="179"/>
      <c r="FA144" s="179"/>
      <c r="FB144" s="179"/>
      <c r="FC144" s="179"/>
      <c r="FD144" s="179"/>
      <c r="FE144" s="179"/>
      <c r="FF144" s="179"/>
      <c r="FG144" s="179"/>
      <c r="FH144" s="179"/>
      <c r="FI144" s="179"/>
      <c r="FJ144" s="179"/>
      <c r="FK144" s="179"/>
      <c r="FL144" s="179"/>
      <c r="FM144" s="179"/>
      <c r="FN144" s="179"/>
      <c r="FO144" s="179"/>
      <c r="FP144" s="179"/>
      <c r="FQ144" s="179"/>
      <c r="FR144" s="179"/>
      <c r="FS144" s="179"/>
      <c r="FT144" s="179"/>
      <c r="FU144" s="179"/>
      <c r="FV144" s="179"/>
      <c r="FW144" s="179"/>
      <c r="FX144" s="179"/>
      <c r="FY144" s="179"/>
      <c r="FZ144" s="179"/>
      <c r="GA144" s="179"/>
      <c r="GB144" s="179"/>
      <c r="GC144" s="179"/>
      <c r="GD144" s="179"/>
      <c r="GE144" s="179"/>
      <c r="GF144" s="179"/>
      <c r="GG144" s="179"/>
      <c r="GH144" s="179"/>
      <c r="GI144" s="179"/>
      <c r="GJ144" s="179"/>
      <c r="GK144" s="179"/>
      <c r="GL144" s="179"/>
      <c r="GM144" s="179"/>
      <c r="GN144" s="179"/>
      <c r="GO144" s="179"/>
      <c r="GP144" s="179"/>
      <c r="GQ144" s="179"/>
      <c r="GR144" s="179"/>
      <c r="GS144" s="179"/>
      <c r="GT144" s="179"/>
      <c r="GU144" s="179"/>
      <c r="GV144" s="179"/>
      <c r="GW144" s="179"/>
      <c r="GX144" s="179"/>
      <c r="GY144" s="179"/>
      <c r="GZ144" s="179"/>
      <c r="HA144" s="179"/>
      <c r="HB144" s="179"/>
      <c r="HC144" s="179"/>
      <c r="HD144" s="179"/>
      <c r="HE144" s="179"/>
      <c r="HF144" s="179"/>
      <c r="HG144" s="179"/>
      <c r="HH144" s="179"/>
      <c r="HI144" s="179"/>
      <c r="HJ144" s="179"/>
      <c r="HK144" s="179"/>
      <c r="HL144" s="179"/>
      <c r="HM144" s="179"/>
      <c r="HN144" s="179"/>
      <c r="HO144" s="179"/>
      <c r="HP144" s="179"/>
      <c r="HQ144" s="179"/>
      <c r="HR144" s="179"/>
      <c r="HS144" s="179"/>
      <c r="HT144" s="179"/>
      <c r="HU144" s="179"/>
      <c r="HV144" s="179"/>
      <c r="HW144" s="179"/>
      <c r="HX144" s="179"/>
      <c r="HY144" s="179"/>
      <c r="HZ144" s="179"/>
      <c r="IA144" s="179"/>
      <c r="IB144" s="179"/>
      <c r="IC144" s="179"/>
      <c r="ID144" s="179"/>
      <c r="IE144" s="179"/>
      <c r="IF144" s="179"/>
      <c r="IG144" s="179"/>
      <c r="IH144" s="179"/>
      <c r="II144" s="179"/>
      <c r="IJ144" s="179"/>
      <c r="IK144" s="179"/>
      <c r="IL144" s="179"/>
      <c r="IM144" s="179"/>
      <c r="IN144" s="179"/>
      <c r="IO144" s="179"/>
      <c r="IP144" s="179"/>
      <c r="IQ144" s="179"/>
      <c r="IR144" s="179"/>
      <c r="IS144" s="179"/>
      <c r="IT144" s="179"/>
    </row>
    <row r="145" spans="1:254">
      <c r="A145" s="179"/>
      <c r="B145" s="179"/>
      <c r="C145" s="230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79"/>
      <c r="BG145" s="179"/>
      <c r="BH145" s="179"/>
      <c r="BI145" s="179"/>
      <c r="BJ145" s="179"/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9"/>
      <c r="BW145" s="179"/>
      <c r="BX145" s="179"/>
      <c r="BY145" s="179"/>
      <c r="BZ145" s="179"/>
      <c r="CA145" s="179"/>
      <c r="CB145" s="179"/>
      <c r="CC145" s="179"/>
      <c r="CD145" s="179"/>
      <c r="CE145" s="179"/>
      <c r="CF145" s="179"/>
      <c r="CG145" s="179"/>
      <c r="CH145" s="179"/>
      <c r="CI145" s="179"/>
      <c r="CJ145" s="179"/>
      <c r="CK145" s="179"/>
      <c r="CL145" s="179"/>
      <c r="CM145" s="179"/>
      <c r="CN145" s="179"/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9"/>
      <c r="CZ145" s="179"/>
      <c r="DA145" s="179"/>
      <c r="DB145" s="179"/>
      <c r="DC145" s="179"/>
      <c r="DD145" s="179"/>
      <c r="DE145" s="179"/>
      <c r="DF145" s="179"/>
      <c r="DG145" s="179"/>
      <c r="DH145" s="179"/>
      <c r="DI145" s="179"/>
      <c r="DJ145" s="179"/>
      <c r="DK145" s="179"/>
      <c r="DL145" s="179"/>
      <c r="DM145" s="179"/>
      <c r="DN145" s="179"/>
      <c r="DO145" s="179"/>
      <c r="DP145" s="179"/>
      <c r="DQ145" s="179"/>
      <c r="DR145" s="179"/>
      <c r="DS145" s="179"/>
      <c r="DT145" s="179"/>
      <c r="DU145" s="179"/>
      <c r="DV145" s="179"/>
      <c r="DW145" s="179"/>
      <c r="DX145" s="179"/>
      <c r="DY145" s="179"/>
      <c r="DZ145" s="179"/>
      <c r="EA145" s="179"/>
      <c r="EB145" s="179"/>
      <c r="EC145" s="179"/>
      <c r="ED145" s="179"/>
      <c r="EE145" s="179"/>
      <c r="EF145" s="179"/>
      <c r="EG145" s="179"/>
      <c r="EH145" s="179"/>
      <c r="EI145" s="179"/>
      <c r="EJ145" s="179"/>
      <c r="EK145" s="179"/>
      <c r="EL145" s="179"/>
      <c r="EM145" s="179"/>
      <c r="EN145" s="179"/>
      <c r="EO145" s="179"/>
      <c r="EP145" s="179"/>
      <c r="EQ145" s="179"/>
      <c r="ER145" s="179"/>
      <c r="ES145" s="179"/>
      <c r="ET145" s="179"/>
      <c r="EU145" s="179"/>
      <c r="EV145" s="179"/>
      <c r="EW145" s="179"/>
      <c r="EX145" s="179"/>
      <c r="EY145" s="179"/>
      <c r="EZ145" s="179"/>
      <c r="FA145" s="179"/>
      <c r="FB145" s="179"/>
      <c r="FC145" s="179"/>
      <c r="FD145" s="179"/>
      <c r="FE145" s="179"/>
      <c r="FF145" s="179"/>
      <c r="FG145" s="179"/>
      <c r="FH145" s="179"/>
      <c r="FI145" s="179"/>
      <c r="FJ145" s="179"/>
      <c r="FK145" s="179"/>
      <c r="FL145" s="179"/>
      <c r="FM145" s="179"/>
      <c r="FN145" s="179"/>
      <c r="FO145" s="179"/>
      <c r="FP145" s="179"/>
      <c r="FQ145" s="179"/>
      <c r="FR145" s="179"/>
      <c r="FS145" s="179"/>
      <c r="FT145" s="179"/>
      <c r="FU145" s="179"/>
      <c r="FV145" s="179"/>
      <c r="FW145" s="179"/>
      <c r="FX145" s="179"/>
      <c r="FY145" s="179"/>
      <c r="FZ145" s="179"/>
      <c r="GA145" s="179"/>
      <c r="GB145" s="179"/>
      <c r="GC145" s="179"/>
      <c r="GD145" s="179"/>
      <c r="GE145" s="179"/>
      <c r="GF145" s="179"/>
      <c r="GG145" s="179"/>
      <c r="GH145" s="179"/>
      <c r="GI145" s="179"/>
      <c r="GJ145" s="179"/>
      <c r="GK145" s="179"/>
      <c r="GL145" s="179"/>
      <c r="GM145" s="179"/>
      <c r="GN145" s="179"/>
      <c r="GO145" s="179"/>
      <c r="GP145" s="179"/>
      <c r="GQ145" s="179"/>
      <c r="GR145" s="179"/>
      <c r="GS145" s="179"/>
      <c r="GT145" s="179"/>
      <c r="GU145" s="179"/>
      <c r="GV145" s="179"/>
      <c r="GW145" s="179"/>
      <c r="GX145" s="179"/>
      <c r="GY145" s="179"/>
      <c r="GZ145" s="179"/>
      <c r="HA145" s="179"/>
      <c r="HB145" s="179"/>
      <c r="HC145" s="179"/>
      <c r="HD145" s="179"/>
      <c r="HE145" s="179"/>
      <c r="HF145" s="179"/>
      <c r="HG145" s="179"/>
      <c r="HH145" s="179"/>
      <c r="HI145" s="179"/>
      <c r="HJ145" s="179"/>
      <c r="HK145" s="179"/>
      <c r="HL145" s="179"/>
      <c r="HM145" s="179"/>
      <c r="HN145" s="179"/>
      <c r="HO145" s="179"/>
      <c r="HP145" s="179"/>
      <c r="HQ145" s="179"/>
      <c r="HR145" s="179"/>
      <c r="HS145" s="179"/>
      <c r="HT145" s="179"/>
      <c r="HU145" s="179"/>
      <c r="HV145" s="179"/>
      <c r="HW145" s="179"/>
      <c r="HX145" s="179"/>
      <c r="HY145" s="179"/>
      <c r="HZ145" s="179"/>
      <c r="IA145" s="179"/>
      <c r="IB145" s="179"/>
      <c r="IC145" s="179"/>
      <c r="ID145" s="179"/>
      <c r="IE145" s="179"/>
      <c r="IF145" s="179"/>
      <c r="IG145" s="179"/>
      <c r="IH145" s="179"/>
      <c r="II145" s="179"/>
      <c r="IJ145" s="179"/>
      <c r="IK145" s="179"/>
      <c r="IL145" s="179"/>
      <c r="IM145" s="179"/>
      <c r="IN145" s="179"/>
      <c r="IO145" s="179"/>
      <c r="IP145" s="179"/>
      <c r="IQ145" s="179"/>
      <c r="IR145" s="179"/>
      <c r="IS145" s="179"/>
      <c r="IT145" s="179"/>
    </row>
    <row r="146" spans="1:254">
      <c r="A146" s="448" t="s">
        <v>605</v>
      </c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79"/>
      <c r="BN146" s="179"/>
      <c r="BO146" s="179"/>
      <c r="BP146" s="179"/>
      <c r="BQ146" s="179"/>
      <c r="BR146" s="179"/>
      <c r="BS146" s="179"/>
      <c r="BT146" s="179"/>
      <c r="BU146" s="179"/>
      <c r="BV146" s="179"/>
      <c r="BW146" s="179"/>
      <c r="BX146" s="179"/>
      <c r="BY146" s="179"/>
      <c r="BZ146" s="179"/>
      <c r="CA146" s="179"/>
      <c r="CB146" s="179"/>
      <c r="CC146" s="179"/>
      <c r="CD146" s="179"/>
      <c r="CE146" s="179"/>
      <c r="CF146" s="179"/>
      <c r="CG146" s="179"/>
      <c r="CH146" s="179"/>
      <c r="CI146" s="179"/>
      <c r="CJ146" s="179"/>
      <c r="CK146" s="179"/>
      <c r="CL146" s="179"/>
      <c r="CM146" s="179"/>
      <c r="CN146" s="179"/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  <c r="DB146" s="179"/>
      <c r="DC146" s="179"/>
      <c r="DD146" s="179"/>
      <c r="DE146" s="179"/>
      <c r="DF146" s="179"/>
      <c r="DG146" s="179"/>
      <c r="DH146" s="179"/>
      <c r="DI146" s="179"/>
      <c r="DJ146" s="179"/>
      <c r="DK146" s="179"/>
      <c r="DL146" s="179"/>
      <c r="DM146" s="179"/>
      <c r="DN146" s="179"/>
      <c r="DO146" s="179"/>
      <c r="DP146" s="179"/>
      <c r="DQ146" s="179"/>
      <c r="DR146" s="179"/>
      <c r="DS146" s="179"/>
      <c r="DT146" s="179"/>
      <c r="DU146" s="179"/>
      <c r="DV146" s="179"/>
      <c r="DW146" s="179"/>
      <c r="DX146" s="179"/>
      <c r="DY146" s="179"/>
      <c r="DZ146" s="179"/>
      <c r="EA146" s="179"/>
      <c r="EB146" s="179"/>
      <c r="EC146" s="179"/>
      <c r="ED146" s="179"/>
      <c r="EE146" s="179"/>
      <c r="EF146" s="179"/>
      <c r="EG146" s="179"/>
      <c r="EH146" s="179"/>
      <c r="EI146" s="179"/>
      <c r="EJ146" s="179"/>
      <c r="EK146" s="179"/>
      <c r="EL146" s="179"/>
      <c r="EM146" s="179"/>
      <c r="EN146" s="179"/>
      <c r="EO146" s="179"/>
      <c r="EP146" s="179"/>
      <c r="EQ146" s="179"/>
      <c r="ER146" s="179"/>
      <c r="ES146" s="179"/>
      <c r="ET146" s="179"/>
      <c r="EU146" s="179"/>
      <c r="EV146" s="179"/>
      <c r="EW146" s="179"/>
      <c r="EX146" s="179"/>
      <c r="EY146" s="179"/>
      <c r="EZ146" s="179"/>
      <c r="FA146" s="179"/>
      <c r="FB146" s="179"/>
      <c r="FC146" s="179"/>
      <c r="FD146" s="179"/>
      <c r="FE146" s="179"/>
      <c r="FF146" s="179"/>
      <c r="FG146" s="179"/>
      <c r="FH146" s="179"/>
      <c r="FI146" s="179"/>
      <c r="FJ146" s="179"/>
      <c r="FK146" s="179"/>
      <c r="FL146" s="179"/>
      <c r="FM146" s="179"/>
      <c r="FN146" s="179"/>
      <c r="FO146" s="179"/>
      <c r="FP146" s="179"/>
      <c r="FQ146" s="179"/>
      <c r="FR146" s="179"/>
      <c r="FS146" s="179"/>
      <c r="FT146" s="179"/>
      <c r="FU146" s="179"/>
      <c r="FV146" s="179"/>
      <c r="FW146" s="179"/>
      <c r="FX146" s="179"/>
      <c r="FY146" s="179"/>
      <c r="FZ146" s="179"/>
      <c r="GA146" s="179"/>
      <c r="GB146" s="179"/>
      <c r="GC146" s="179"/>
      <c r="GD146" s="179"/>
      <c r="GE146" s="179"/>
      <c r="GF146" s="179"/>
      <c r="GG146" s="179"/>
      <c r="GH146" s="179"/>
      <c r="GI146" s="179"/>
      <c r="GJ146" s="179"/>
      <c r="GK146" s="179"/>
      <c r="GL146" s="179"/>
      <c r="GM146" s="179"/>
      <c r="GN146" s="179"/>
      <c r="GO146" s="179"/>
      <c r="GP146" s="179"/>
      <c r="GQ146" s="179"/>
      <c r="GR146" s="179"/>
      <c r="GS146" s="179"/>
      <c r="GT146" s="179"/>
      <c r="GU146" s="179"/>
      <c r="GV146" s="179"/>
      <c r="GW146" s="179"/>
      <c r="GX146" s="179"/>
      <c r="GY146" s="179"/>
      <c r="GZ146" s="179"/>
      <c r="HA146" s="179"/>
      <c r="HB146" s="179"/>
      <c r="HC146" s="179"/>
      <c r="HD146" s="179"/>
      <c r="HE146" s="179"/>
      <c r="HF146" s="179"/>
      <c r="HG146" s="179"/>
      <c r="HH146" s="179"/>
      <c r="HI146" s="179"/>
      <c r="HJ146" s="179"/>
      <c r="HK146" s="179"/>
      <c r="HL146" s="179"/>
      <c r="HM146" s="179"/>
      <c r="HN146" s="179"/>
      <c r="HO146" s="179"/>
      <c r="HP146" s="179"/>
      <c r="HQ146" s="179"/>
      <c r="HR146" s="179"/>
      <c r="HS146" s="179"/>
      <c r="HT146" s="179"/>
      <c r="HU146" s="179"/>
      <c r="HV146" s="179"/>
      <c r="HW146" s="179"/>
      <c r="HX146" s="179"/>
      <c r="HY146" s="179"/>
      <c r="HZ146" s="179"/>
      <c r="IA146" s="179"/>
      <c r="IB146" s="179"/>
      <c r="IC146" s="179"/>
      <c r="ID146" s="179"/>
      <c r="IE146" s="179"/>
      <c r="IF146" s="179"/>
      <c r="IG146" s="179"/>
      <c r="IH146" s="179"/>
      <c r="II146" s="179"/>
      <c r="IJ146" s="179"/>
      <c r="IK146" s="179"/>
      <c r="IL146" s="179"/>
      <c r="IM146" s="179"/>
      <c r="IN146" s="179"/>
      <c r="IO146" s="179"/>
      <c r="IP146" s="179"/>
      <c r="IQ146" s="179"/>
      <c r="IR146" s="179"/>
      <c r="IS146" s="179"/>
      <c r="IT146" s="179"/>
    </row>
    <row r="148" spans="1:254">
      <c r="A148" s="321" t="s">
        <v>1612</v>
      </c>
      <c r="C148">
        <f>5.94*C119*12</f>
        <v>55755.216000000015</v>
      </c>
    </row>
    <row r="149" spans="1:254">
      <c r="C149" s="276">
        <f>C148+C129</f>
        <v>321567.83728980302</v>
      </c>
    </row>
    <row r="150" spans="1:254">
      <c r="C150">
        <f>C149/C129</f>
        <v>1.2097538323404617</v>
      </c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97"/>
  <sheetViews>
    <sheetView topLeftCell="A61" workbookViewId="0">
      <selection activeCell="A65" sqref="A65:B91"/>
    </sheetView>
  </sheetViews>
  <sheetFormatPr defaultRowHeight="15"/>
  <cols>
    <col min="1" max="1" width="79.140625" customWidth="1"/>
    <col min="2" max="2" width="10.28515625" customWidth="1"/>
  </cols>
  <sheetData>
    <row r="1" spans="1:2" ht="15.75">
      <c r="A1" s="701" t="s">
        <v>364</v>
      </c>
      <c r="B1" s="701"/>
    </row>
    <row r="2" spans="1:2" ht="15.75">
      <c r="A2" s="702" t="s">
        <v>1578</v>
      </c>
      <c r="B2" s="702"/>
    </row>
    <row r="3" spans="1:2" s="55" customFormat="1" ht="15.75">
      <c r="A3" s="702" t="s">
        <v>1622</v>
      </c>
      <c r="B3" s="702"/>
    </row>
    <row r="4" spans="1:2" s="55" customFormat="1" ht="15.75">
      <c r="A4" s="126"/>
      <c r="B4" s="74"/>
    </row>
    <row r="5" spans="1:2" s="73" customFormat="1" ht="30.75" thickBot="1">
      <c r="A5" s="496" t="s">
        <v>229</v>
      </c>
      <c r="B5" s="82" t="s">
        <v>523</v>
      </c>
    </row>
    <row r="6" spans="1:2" s="73" customFormat="1" ht="15.75" thickBot="1">
      <c r="A6" s="499" t="s">
        <v>57</v>
      </c>
      <c r="B6" s="72"/>
    </row>
    <row r="7" spans="1:2" s="73" customFormat="1" ht="15.75" thickBot="1">
      <c r="A7" s="262" t="s">
        <v>1771</v>
      </c>
      <c r="B7" s="129">
        <v>6</v>
      </c>
    </row>
    <row r="8" spans="1:2" s="73" customFormat="1" ht="42" customHeight="1" thickBot="1">
      <c r="A8" s="262" t="s">
        <v>1797</v>
      </c>
      <c r="B8" s="129">
        <v>96</v>
      </c>
    </row>
    <row r="9" spans="1:2" s="73" customFormat="1" ht="28.5">
      <c r="A9" s="500" t="s">
        <v>1802</v>
      </c>
      <c r="B9" s="72">
        <v>2</v>
      </c>
    </row>
    <row r="10" spans="1:2" s="73" customFormat="1" ht="36.75" customHeight="1">
      <c r="A10" s="500" t="s">
        <v>1805</v>
      </c>
      <c r="B10" s="72">
        <f>1+2+1</f>
        <v>4</v>
      </c>
    </row>
    <row r="11" spans="1:2" s="73" customFormat="1" ht="28.5">
      <c r="A11" s="501" t="s">
        <v>1808</v>
      </c>
      <c r="B11" s="72">
        <v>6</v>
      </c>
    </row>
    <row r="12" spans="1:2" s="73" customFormat="1">
      <c r="A12" s="501" t="s">
        <v>1812</v>
      </c>
      <c r="B12" s="72">
        <v>2.5</v>
      </c>
    </row>
    <row r="13" spans="1:2">
      <c r="A13" s="504" t="s">
        <v>66</v>
      </c>
      <c r="B13" s="76"/>
    </row>
    <row r="14" spans="1:2" s="73" customFormat="1" ht="28.5">
      <c r="A14" s="132" t="s">
        <v>1787</v>
      </c>
      <c r="B14" s="72">
        <v>2</v>
      </c>
    </row>
    <row r="15" spans="1:2" s="73" customFormat="1" ht="28.5">
      <c r="A15" s="132" t="s">
        <v>1804</v>
      </c>
      <c r="B15" s="72">
        <v>2</v>
      </c>
    </row>
    <row r="16" spans="1:2" s="73" customFormat="1">
      <c r="A16" s="132" t="s">
        <v>1807</v>
      </c>
      <c r="B16" s="72">
        <v>2</v>
      </c>
    </row>
    <row r="17" spans="1:2" s="73" customFormat="1">
      <c r="A17" s="505" t="s">
        <v>590</v>
      </c>
      <c r="B17" s="72"/>
    </row>
    <row r="18" spans="1:2" s="73" customFormat="1">
      <c r="A18" s="400" t="s">
        <v>1764</v>
      </c>
      <c r="B18" s="72">
        <v>4</v>
      </c>
    </row>
    <row r="19" spans="1:2" s="73" customFormat="1" ht="21" customHeight="1">
      <c r="A19" s="226" t="s">
        <v>1765</v>
      </c>
      <c r="B19" s="72">
        <v>1</v>
      </c>
    </row>
    <row r="20" spans="1:2" s="73" customFormat="1" ht="17.25" customHeight="1">
      <c r="A20" s="497" t="s">
        <v>1766</v>
      </c>
      <c r="B20" s="72">
        <v>4</v>
      </c>
    </row>
    <row r="21" spans="1:2" s="73" customFormat="1" ht="28.5">
      <c r="A21" s="400" t="s">
        <v>1767</v>
      </c>
      <c r="B21" s="72">
        <v>4</v>
      </c>
    </row>
    <row r="22" spans="1:2" s="73" customFormat="1" ht="28.5">
      <c r="A22" s="226" t="s">
        <v>1768</v>
      </c>
      <c r="B22" s="72">
        <v>2</v>
      </c>
    </row>
    <row r="23" spans="1:2" s="73" customFormat="1" ht="21" customHeight="1">
      <c r="A23" s="400" t="s">
        <v>1769</v>
      </c>
      <c r="B23" s="72">
        <v>5</v>
      </c>
    </row>
    <row r="24" spans="1:2" s="73" customFormat="1" ht="28.5">
      <c r="A24" s="400" t="s">
        <v>1770</v>
      </c>
      <c r="B24" s="72">
        <v>5</v>
      </c>
    </row>
    <row r="25" spans="1:2" s="73" customFormat="1" ht="42.75">
      <c r="A25" s="400" t="s">
        <v>1772</v>
      </c>
      <c r="B25" s="72">
        <v>8</v>
      </c>
    </row>
    <row r="26" spans="1:2" s="73" customFormat="1" ht="28.5">
      <c r="A26" s="400" t="s">
        <v>1773</v>
      </c>
      <c r="B26" s="72">
        <v>4</v>
      </c>
    </row>
    <row r="27" spans="1:2" s="73" customFormat="1">
      <c r="A27" s="400" t="s">
        <v>1774</v>
      </c>
      <c r="B27" s="72">
        <v>2</v>
      </c>
    </row>
    <row r="28" spans="1:2" s="73" customFormat="1" ht="28.5">
      <c r="A28" s="400" t="s">
        <v>1775</v>
      </c>
      <c r="B28" s="72">
        <v>6</v>
      </c>
    </row>
    <row r="29" spans="1:2" s="73" customFormat="1" ht="15" customHeight="1">
      <c r="A29" s="497" t="s">
        <v>1776</v>
      </c>
      <c r="B29" s="72">
        <v>4</v>
      </c>
    </row>
    <row r="30" spans="1:2" s="73" customFormat="1" ht="18" customHeight="1">
      <c r="A30" s="497" t="s">
        <v>1777</v>
      </c>
      <c r="B30" s="72">
        <v>6</v>
      </c>
    </row>
    <row r="31" spans="1:2" s="73" customFormat="1" ht="28.5">
      <c r="A31" s="498" t="s">
        <v>1778</v>
      </c>
      <c r="B31" s="72">
        <v>1</v>
      </c>
    </row>
    <row r="32" spans="1:2" s="73" customFormat="1" ht="28.5">
      <c r="A32" s="498" t="s">
        <v>1779</v>
      </c>
      <c r="B32" s="72">
        <v>1</v>
      </c>
    </row>
    <row r="33" spans="1:2" s="73" customFormat="1" ht="29.25" customHeight="1">
      <c r="A33" s="497" t="s">
        <v>1780</v>
      </c>
      <c r="B33" s="72">
        <v>1</v>
      </c>
    </row>
    <row r="34" spans="1:2" s="73" customFormat="1" ht="28.5">
      <c r="A34" s="400" t="s">
        <v>1781</v>
      </c>
      <c r="B34" s="72">
        <v>3</v>
      </c>
    </row>
    <row r="35" spans="1:2" s="73" customFormat="1" ht="19.5" customHeight="1">
      <c r="A35" s="497" t="s">
        <v>1782</v>
      </c>
      <c r="B35" s="72">
        <v>6</v>
      </c>
    </row>
    <row r="36" spans="1:2" s="73" customFormat="1" ht="28.5">
      <c r="A36" s="400" t="s">
        <v>1784</v>
      </c>
      <c r="B36" s="72">
        <v>4</v>
      </c>
    </row>
    <row r="37" spans="1:2" s="73" customFormat="1" ht="18.75" customHeight="1">
      <c r="A37" s="497" t="s">
        <v>1785</v>
      </c>
      <c r="B37" s="72">
        <v>4</v>
      </c>
    </row>
    <row r="38" spans="1:2" s="73" customFormat="1" ht="18.75" customHeight="1">
      <c r="A38" s="498" t="s">
        <v>1786</v>
      </c>
      <c r="B38" s="72">
        <v>5</v>
      </c>
    </row>
    <row r="39" spans="1:2" s="73" customFormat="1" ht="28.5">
      <c r="A39" s="498" t="s">
        <v>1788</v>
      </c>
      <c r="B39" s="72">
        <v>6</v>
      </c>
    </row>
    <row r="40" spans="1:2" s="73" customFormat="1" ht="20.25" customHeight="1">
      <c r="A40" s="506" t="s">
        <v>1789</v>
      </c>
      <c r="B40" s="72">
        <v>4</v>
      </c>
    </row>
    <row r="41" spans="1:2" s="73" customFormat="1" ht="28.5">
      <c r="A41" s="498" t="s">
        <v>1790</v>
      </c>
      <c r="B41" s="72">
        <v>2</v>
      </c>
    </row>
    <row r="42" spans="1:2" s="73" customFormat="1" ht="28.5" customHeight="1">
      <c r="A42" s="497" t="s">
        <v>1791</v>
      </c>
      <c r="B42" s="72">
        <v>4</v>
      </c>
    </row>
    <row r="43" spans="1:2" s="73" customFormat="1" ht="32.25" customHeight="1">
      <c r="A43" s="152" t="s">
        <v>1792</v>
      </c>
      <c r="B43" s="72">
        <v>6</v>
      </c>
    </row>
    <row r="44" spans="1:2" s="73" customFormat="1" ht="28.5">
      <c r="A44" s="400" t="s">
        <v>1793</v>
      </c>
      <c r="B44" s="72">
        <v>2</v>
      </c>
    </row>
    <row r="45" spans="1:2" s="73" customFormat="1" ht="19.5" customHeight="1">
      <c r="A45" s="497" t="s">
        <v>1794</v>
      </c>
      <c r="B45" s="72">
        <v>4</v>
      </c>
    </row>
    <row r="46" spans="1:2" s="73" customFormat="1" ht="30" customHeight="1">
      <c r="A46" s="498" t="s">
        <v>1795</v>
      </c>
      <c r="B46" s="72">
        <v>6</v>
      </c>
    </row>
    <row r="47" spans="1:2" s="73" customFormat="1" ht="30.75" customHeight="1">
      <c r="A47" s="498" t="s">
        <v>1796</v>
      </c>
      <c r="B47" s="72">
        <v>4</v>
      </c>
    </row>
    <row r="48" spans="1:2" s="73" customFormat="1" ht="30.75" customHeight="1">
      <c r="A48" s="498" t="s">
        <v>1798</v>
      </c>
      <c r="B48" s="72">
        <v>2</v>
      </c>
    </row>
    <row r="49" spans="1:2" s="73" customFormat="1" ht="30.75" customHeight="1">
      <c r="A49" s="498" t="s">
        <v>1799</v>
      </c>
      <c r="B49" s="72">
        <v>2</v>
      </c>
    </row>
    <row r="50" spans="1:2" s="73" customFormat="1" ht="30.75" customHeight="1">
      <c r="A50" s="498" t="s">
        <v>1800</v>
      </c>
      <c r="B50" s="72">
        <v>2.5</v>
      </c>
    </row>
    <row r="51" spans="1:2" s="73" customFormat="1" ht="21.75" customHeight="1">
      <c r="A51" s="498" t="s">
        <v>1809</v>
      </c>
      <c r="B51" s="72">
        <v>1</v>
      </c>
    </row>
    <row r="52" spans="1:2" s="73" customFormat="1" ht="24.75" customHeight="1">
      <c r="A52" s="497" t="s">
        <v>1811</v>
      </c>
      <c r="B52" s="72">
        <v>1</v>
      </c>
    </row>
    <row r="53" spans="1:2" s="73" customFormat="1" ht="30.75" customHeight="1">
      <c r="A53" s="497" t="s">
        <v>1813</v>
      </c>
      <c r="B53" s="72">
        <v>7</v>
      </c>
    </row>
    <row r="54" spans="1:2" s="73" customFormat="1" ht="30.75" customHeight="1" thickBot="1">
      <c r="A54" s="141" t="s">
        <v>1815</v>
      </c>
      <c r="B54" s="72">
        <v>4</v>
      </c>
    </row>
    <row r="55" spans="1:2" ht="15.75" customHeight="1">
      <c r="A55" s="387" t="s">
        <v>102</v>
      </c>
      <c r="B55" s="76"/>
    </row>
    <row r="56" spans="1:2" s="73" customFormat="1" ht="42.75">
      <c r="A56" s="400" t="s">
        <v>1763</v>
      </c>
      <c r="B56" s="72">
        <v>3</v>
      </c>
    </row>
    <row r="57" spans="1:2" s="73" customFormat="1" ht="28.5">
      <c r="A57" s="400" t="s">
        <v>1783</v>
      </c>
      <c r="B57" s="72">
        <v>4</v>
      </c>
    </row>
    <row r="58" spans="1:2" s="73" customFormat="1" ht="42.75">
      <c r="A58" s="497" t="s">
        <v>1801</v>
      </c>
      <c r="B58" s="72">
        <v>4</v>
      </c>
    </row>
    <row r="59" spans="1:2" s="73" customFormat="1" ht="28.5">
      <c r="A59" s="497" t="s">
        <v>1803</v>
      </c>
      <c r="B59" s="72">
        <v>1</v>
      </c>
    </row>
    <row r="60" spans="1:2" s="73" customFormat="1">
      <c r="A60" s="497" t="s">
        <v>1806</v>
      </c>
      <c r="B60" s="72">
        <v>1</v>
      </c>
    </row>
    <row r="61" spans="1:2" s="73" customFormat="1">
      <c r="A61" s="497" t="s">
        <v>1810</v>
      </c>
      <c r="B61" s="72">
        <v>1</v>
      </c>
    </row>
    <row r="62" spans="1:2" s="73" customFormat="1">
      <c r="A62" s="497" t="s">
        <v>1814</v>
      </c>
      <c r="B62" s="72">
        <v>1</v>
      </c>
    </row>
    <row r="63" spans="1:2" s="73" customFormat="1" ht="15.75" thickBot="1">
      <c r="A63" s="503" t="s">
        <v>104</v>
      </c>
      <c r="B63" s="72">
        <f>SUM(B6:B62)</f>
        <v>275</v>
      </c>
    </row>
    <row r="64" spans="1:2">
      <c r="A64" s="78"/>
      <c r="B64" s="75"/>
    </row>
    <row r="65" spans="1:254" s="179" customFormat="1" ht="43.5" customHeight="1">
      <c r="A65" s="447" t="s">
        <v>1621</v>
      </c>
      <c r="IT65"/>
    </row>
    <row r="66" spans="1:254">
      <c r="A66" s="180" t="s">
        <v>650</v>
      </c>
      <c r="B66" s="196">
        <v>736.8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9"/>
      <c r="GL66" s="179"/>
      <c r="GM66" s="179"/>
      <c r="GN66" s="179"/>
      <c r="GO66" s="179"/>
      <c r="GP66" s="179"/>
      <c r="GQ66" s="179"/>
      <c r="GR66" s="179"/>
      <c r="GS66" s="179"/>
      <c r="GT66" s="179"/>
      <c r="GU66" s="179"/>
      <c r="GV66" s="179"/>
      <c r="GW66" s="179"/>
      <c r="GX66" s="179"/>
      <c r="GY66" s="179"/>
      <c r="GZ66" s="179"/>
      <c r="HA66" s="179"/>
      <c r="HB66" s="179"/>
      <c r="HC66" s="179"/>
      <c r="HD66" s="179"/>
      <c r="HE66" s="179"/>
      <c r="HF66" s="179"/>
      <c r="HG66" s="179"/>
      <c r="HH66" s="179"/>
      <c r="HI66" s="179"/>
      <c r="HJ66" s="179"/>
      <c r="HK66" s="179"/>
      <c r="HL66" s="179"/>
      <c r="HM66" s="179"/>
      <c r="HN66" s="179"/>
      <c r="HO66" s="179"/>
      <c r="HP66" s="179"/>
      <c r="HQ66" s="179"/>
      <c r="HR66" s="179"/>
      <c r="HS66" s="179"/>
      <c r="HT66" s="179"/>
      <c r="HU66" s="179"/>
      <c r="HV66" s="179"/>
      <c r="HW66" s="179"/>
      <c r="HX66" s="179"/>
      <c r="HY66" s="179"/>
      <c r="HZ66" s="179"/>
      <c r="IA66" s="179"/>
      <c r="IB66" s="179"/>
      <c r="IC66" s="179"/>
      <c r="ID66" s="179"/>
      <c r="IE66" s="179"/>
      <c r="IF66" s="179"/>
      <c r="IG66" s="179"/>
      <c r="IH66" s="179"/>
      <c r="II66" s="179"/>
      <c r="IJ66" s="179"/>
      <c r="IK66" s="179"/>
      <c r="IL66" s="179"/>
      <c r="IM66" s="179"/>
      <c r="IN66" s="179"/>
      <c r="IO66" s="179"/>
      <c r="IP66" s="179"/>
      <c r="IQ66" s="179"/>
      <c r="IR66" s="179"/>
      <c r="IS66" s="179"/>
    </row>
    <row r="67" spans="1:254">
      <c r="A67" s="180" t="s">
        <v>594</v>
      </c>
      <c r="B67" s="196">
        <v>30.24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79"/>
      <c r="GD67" s="179"/>
      <c r="GE67" s="179"/>
      <c r="GF67" s="179"/>
      <c r="GG67" s="179"/>
      <c r="GH67" s="179"/>
      <c r="GI67" s="179"/>
      <c r="GJ67" s="179"/>
      <c r="GK67" s="179"/>
      <c r="GL67" s="179"/>
      <c r="GM67" s="179"/>
      <c r="GN67" s="179"/>
      <c r="GO67" s="179"/>
      <c r="GP67" s="179"/>
      <c r="GQ67" s="179"/>
      <c r="GR67" s="179"/>
      <c r="GS67" s="179"/>
      <c r="GT67" s="179"/>
      <c r="GU67" s="179"/>
      <c r="GV67" s="179"/>
      <c r="GW67" s="179"/>
      <c r="GX67" s="179"/>
      <c r="GY67" s="179"/>
      <c r="GZ67" s="179"/>
      <c r="HA67" s="179"/>
      <c r="HB67" s="179"/>
      <c r="HC67" s="179"/>
      <c r="HD67" s="179"/>
      <c r="HE67" s="179"/>
      <c r="HF67" s="179"/>
      <c r="HG67" s="179"/>
      <c r="HH67" s="179"/>
      <c r="HI67" s="179"/>
      <c r="HJ67" s="179"/>
      <c r="HK67" s="179"/>
      <c r="HL67" s="179"/>
      <c r="HM67" s="179"/>
      <c r="HN67" s="179"/>
      <c r="HO67" s="179"/>
      <c r="HP67" s="179"/>
      <c r="HQ67" s="179"/>
      <c r="HR67" s="179"/>
      <c r="HS67" s="179"/>
      <c r="HT67" s="179"/>
      <c r="HU67" s="179"/>
      <c r="HV67" s="179"/>
      <c r="HW67" s="179"/>
      <c r="HX67" s="179"/>
      <c r="HY67" s="179"/>
      <c r="HZ67" s="179"/>
      <c r="IA67" s="179"/>
      <c r="IB67" s="179"/>
      <c r="IC67" s="179"/>
      <c r="ID67" s="179"/>
      <c r="IE67" s="179"/>
      <c r="IF67" s="179"/>
      <c r="IG67" s="179"/>
      <c r="IH67" s="179"/>
      <c r="II67" s="179"/>
      <c r="IJ67" s="179"/>
      <c r="IK67" s="179"/>
      <c r="IL67" s="179"/>
      <c r="IM67" s="179"/>
      <c r="IN67" s="179"/>
      <c r="IO67" s="179"/>
      <c r="IP67" s="179"/>
      <c r="IQ67" s="179"/>
      <c r="IR67" s="179"/>
      <c r="IS67" s="179"/>
    </row>
    <row r="68" spans="1:254" s="73" customFormat="1">
      <c r="A68" s="193" t="s">
        <v>711</v>
      </c>
      <c r="B68" s="193">
        <v>88571.9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  <c r="FI68" s="230"/>
      <c r="FJ68" s="230"/>
      <c r="FK68" s="230"/>
      <c r="FL68" s="230"/>
      <c r="FM68" s="230"/>
      <c r="FN68" s="230"/>
      <c r="FO68" s="230"/>
      <c r="FP68" s="230"/>
      <c r="FQ68" s="230"/>
      <c r="FR68" s="230"/>
      <c r="FS68" s="230"/>
      <c r="FT68" s="230"/>
      <c r="FU68" s="230"/>
      <c r="FV68" s="230"/>
      <c r="FW68" s="230"/>
      <c r="FX68" s="230"/>
      <c r="FY68" s="230"/>
      <c r="FZ68" s="230"/>
      <c r="GA68" s="230"/>
      <c r="GB68" s="230"/>
      <c r="GC68" s="230"/>
      <c r="GD68" s="230"/>
      <c r="GE68" s="230"/>
      <c r="GF68" s="230"/>
      <c r="GG68" s="230"/>
      <c r="GH68" s="230"/>
      <c r="GI68" s="230"/>
      <c r="GJ68" s="230"/>
      <c r="GK68" s="230"/>
      <c r="GL68" s="230"/>
      <c r="GM68" s="230"/>
      <c r="GN68" s="230"/>
      <c r="GO68" s="230"/>
      <c r="GP68" s="230"/>
      <c r="GQ68" s="230"/>
      <c r="GR68" s="230"/>
      <c r="GS68" s="230"/>
      <c r="GT68" s="230"/>
      <c r="GU68" s="230"/>
      <c r="GV68" s="230"/>
      <c r="GW68" s="230"/>
      <c r="GX68" s="230"/>
      <c r="GY68" s="230"/>
      <c r="GZ68" s="230"/>
      <c r="HA68" s="230"/>
      <c r="HB68" s="230"/>
      <c r="HC68" s="230"/>
      <c r="HD68" s="230"/>
      <c r="HE68" s="230"/>
      <c r="HF68" s="230"/>
      <c r="HG68" s="230"/>
      <c r="HH68" s="230"/>
      <c r="HI68" s="230"/>
      <c r="HJ68" s="230"/>
      <c r="HK68" s="230"/>
      <c r="HL68" s="230"/>
      <c r="HM68" s="230"/>
      <c r="HN68" s="230"/>
      <c r="HO68" s="230"/>
      <c r="HP68" s="230"/>
      <c r="HQ68" s="230"/>
      <c r="HR68" s="230"/>
      <c r="HS68" s="230"/>
      <c r="HT68" s="230"/>
      <c r="HU68" s="230"/>
      <c r="HV68" s="230"/>
      <c r="HW68" s="230"/>
      <c r="HX68" s="230"/>
      <c r="HY68" s="230"/>
      <c r="HZ68" s="230"/>
      <c r="IA68" s="230"/>
      <c r="IB68" s="230"/>
      <c r="IC68" s="230"/>
      <c r="ID68" s="230"/>
      <c r="IE68" s="230"/>
      <c r="IF68" s="230"/>
      <c r="IG68" s="230"/>
      <c r="IH68" s="230"/>
      <c r="II68" s="230"/>
      <c r="IJ68" s="230"/>
      <c r="IK68" s="230"/>
      <c r="IL68" s="230"/>
      <c r="IM68" s="230"/>
      <c r="IN68" s="230"/>
      <c r="IO68" s="230"/>
      <c r="IP68" s="230"/>
      <c r="IQ68" s="230"/>
      <c r="IR68" s="230"/>
      <c r="IS68" s="230"/>
    </row>
    <row r="69" spans="1:254" s="73" customFormat="1">
      <c r="A69" s="193" t="s">
        <v>1607</v>
      </c>
      <c r="B69" s="193">
        <v>261926.88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0"/>
      <c r="CZ69" s="230"/>
      <c r="DA69" s="230"/>
      <c r="DB69" s="230"/>
      <c r="DC69" s="230"/>
      <c r="DD69" s="230"/>
      <c r="DE69" s="230"/>
      <c r="DF69" s="230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0"/>
      <c r="DS69" s="230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0"/>
      <c r="EF69" s="230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0"/>
      <c r="ES69" s="230"/>
      <c r="ET69" s="230"/>
      <c r="EU69" s="230"/>
      <c r="EV69" s="230"/>
      <c r="EW69" s="230"/>
      <c r="EX69" s="230"/>
      <c r="EY69" s="230"/>
      <c r="EZ69" s="230"/>
      <c r="FA69" s="230"/>
      <c r="FB69" s="230"/>
      <c r="FC69" s="230"/>
      <c r="FD69" s="230"/>
      <c r="FE69" s="230"/>
      <c r="FF69" s="230"/>
      <c r="FG69" s="230"/>
      <c r="FH69" s="230"/>
      <c r="FI69" s="230"/>
      <c r="FJ69" s="230"/>
      <c r="FK69" s="230"/>
      <c r="FL69" s="230"/>
      <c r="FM69" s="230"/>
      <c r="FN69" s="230"/>
      <c r="FO69" s="230"/>
      <c r="FP69" s="230"/>
      <c r="FQ69" s="230"/>
      <c r="FR69" s="230"/>
      <c r="FS69" s="230"/>
      <c r="FT69" s="230"/>
      <c r="FU69" s="230"/>
      <c r="FV69" s="230"/>
      <c r="FW69" s="230"/>
      <c r="FX69" s="230"/>
      <c r="FY69" s="230"/>
      <c r="FZ69" s="230"/>
      <c r="GA69" s="230"/>
      <c r="GB69" s="230"/>
      <c r="GC69" s="230"/>
      <c r="GD69" s="230"/>
      <c r="GE69" s="230"/>
      <c r="GF69" s="230"/>
      <c r="GG69" s="230"/>
      <c r="GH69" s="230"/>
      <c r="GI69" s="230"/>
      <c r="GJ69" s="230"/>
      <c r="GK69" s="230"/>
      <c r="GL69" s="230"/>
      <c r="GM69" s="230"/>
      <c r="GN69" s="230"/>
      <c r="GO69" s="230"/>
      <c r="GP69" s="230"/>
      <c r="GQ69" s="230"/>
      <c r="GR69" s="230"/>
      <c r="GS69" s="230"/>
      <c r="GT69" s="230"/>
      <c r="GU69" s="230"/>
      <c r="GV69" s="230"/>
      <c r="GW69" s="230"/>
      <c r="GX69" s="230"/>
      <c r="GY69" s="230"/>
      <c r="GZ69" s="230"/>
      <c r="HA69" s="230"/>
      <c r="HB69" s="230"/>
      <c r="HC69" s="230"/>
      <c r="HD69" s="230"/>
      <c r="HE69" s="230"/>
      <c r="HF69" s="230"/>
      <c r="HG69" s="230"/>
      <c r="HH69" s="230"/>
      <c r="HI69" s="230"/>
      <c r="HJ69" s="230"/>
      <c r="HK69" s="230"/>
      <c r="HL69" s="230"/>
      <c r="HM69" s="230"/>
      <c r="HN69" s="230"/>
      <c r="HO69" s="230"/>
      <c r="HP69" s="230"/>
      <c r="HQ69" s="230"/>
      <c r="HR69" s="230"/>
      <c r="HS69" s="230"/>
      <c r="HT69" s="230"/>
      <c r="HU69" s="230"/>
      <c r="HV69" s="230"/>
      <c r="HW69" s="230"/>
      <c r="HX69" s="230"/>
      <c r="HY69" s="230"/>
      <c r="HZ69" s="230"/>
      <c r="IA69" s="230"/>
      <c r="IB69" s="230"/>
      <c r="IC69" s="230"/>
      <c r="ID69" s="230"/>
      <c r="IE69" s="230"/>
      <c r="IF69" s="230"/>
      <c r="IG69" s="230"/>
      <c r="IH69" s="230"/>
      <c r="II69" s="230"/>
      <c r="IJ69" s="230"/>
      <c r="IK69" s="230"/>
      <c r="IL69" s="230"/>
      <c r="IM69" s="230"/>
      <c r="IN69" s="230"/>
      <c r="IO69" s="230"/>
      <c r="IP69" s="230"/>
      <c r="IQ69" s="230"/>
      <c r="IR69" s="230"/>
      <c r="IS69" s="230"/>
    </row>
    <row r="70" spans="1:254" s="73" customFormat="1">
      <c r="A70" s="193" t="s">
        <v>1623</v>
      </c>
      <c r="B70" s="193">
        <v>1683.6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  <c r="CM70" s="230"/>
      <c r="CN70" s="230"/>
      <c r="CO70" s="230"/>
      <c r="CP70" s="230"/>
      <c r="CQ70" s="230"/>
      <c r="CR70" s="230"/>
      <c r="CS70" s="230"/>
      <c r="CT70" s="230"/>
      <c r="CU70" s="230"/>
      <c r="CV70" s="230"/>
      <c r="CW70" s="230"/>
      <c r="CX70" s="230"/>
      <c r="CY70" s="230"/>
      <c r="CZ70" s="230"/>
      <c r="DA70" s="230"/>
      <c r="DB70" s="230"/>
      <c r="DC70" s="230"/>
      <c r="DD70" s="230"/>
      <c r="DE70" s="230"/>
      <c r="DF70" s="230"/>
      <c r="DG70" s="230"/>
      <c r="DH70" s="230"/>
      <c r="DI70" s="230"/>
      <c r="DJ70" s="230"/>
      <c r="DK70" s="230"/>
      <c r="DL70" s="230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0"/>
      <c r="DX70" s="230"/>
      <c r="DY70" s="230"/>
      <c r="DZ70" s="230"/>
      <c r="EA70" s="230"/>
      <c r="EB70" s="230"/>
      <c r="EC70" s="230"/>
      <c r="ED70" s="230"/>
      <c r="EE70" s="230"/>
      <c r="EF70" s="230"/>
      <c r="EG70" s="230"/>
      <c r="EH70" s="230"/>
      <c r="EI70" s="230"/>
      <c r="EJ70" s="230"/>
      <c r="EK70" s="230"/>
      <c r="EL70" s="230"/>
      <c r="EM70" s="230"/>
      <c r="EN70" s="230"/>
      <c r="EO70" s="230"/>
      <c r="EP70" s="230"/>
      <c r="EQ70" s="230"/>
      <c r="ER70" s="230"/>
      <c r="ES70" s="230"/>
      <c r="ET70" s="230"/>
      <c r="EU70" s="230"/>
      <c r="EV70" s="230"/>
      <c r="EW70" s="230"/>
      <c r="EX70" s="230"/>
      <c r="EY70" s="230"/>
      <c r="EZ70" s="230"/>
      <c r="FA70" s="230"/>
      <c r="FB70" s="230"/>
      <c r="FC70" s="230"/>
      <c r="FD70" s="230"/>
      <c r="FE70" s="230"/>
      <c r="FF70" s="230"/>
      <c r="FG70" s="230"/>
      <c r="FH70" s="230"/>
      <c r="FI70" s="230"/>
      <c r="FJ70" s="230"/>
      <c r="FK70" s="230"/>
      <c r="FL70" s="230"/>
      <c r="FM70" s="230"/>
      <c r="FN70" s="230"/>
      <c r="FO70" s="230"/>
      <c r="FP70" s="230"/>
      <c r="FQ70" s="230"/>
      <c r="FR70" s="230"/>
      <c r="FS70" s="230"/>
      <c r="FT70" s="230"/>
      <c r="FU70" s="230"/>
      <c r="FV70" s="230"/>
      <c r="FW70" s="230"/>
      <c r="FX70" s="230"/>
      <c r="FY70" s="230"/>
      <c r="FZ70" s="230"/>
      <c r="GA70" s="230"/>
      <c r="GB70" s="230"/>
      <c r="GC70" s="230"/>
      <c r="GD70" s="230"/>
      <c r="GE70" s="230"/>
      <c r="GF70" s="230"/>
      <c r="GG70" s="230"/>
      <c r="GH70" s="230"/>
      <c r="GI70" s="230"/>
      <c r="GJ70" s="230"/>
      <c r="GK70" s="230"/>
      <c r="GL70" s="230"/>
      <c r="GM70" s="230"/>
      <c r="GN70" s="230"/>
      <c r="GO70" s="230"/>
      <c r="GP70" s="230"/>
      <c r="GQ70" s="230"/>
      <c r="GR70" s="230"/>
      <c r="GS70" s="230"/>
      <c r="GT70" s="230"/>
      <c r="GU70" s="230"/>
      <c r="GV70" s="230"/>
      <c r="GW70" s="230"/>
      <c r="GX70" s="230"/>
      <c r="GY70" s="230"/>
      <c r="GZ70" s="230"/>
      <c r="HA70" s="230"/>
      <c r="HB70" s="230"/>
      <c r="HC70" s="230"/>
      <c r="HD70" s="230"/>
      <c r="HE70" s="230"/>
      <c r="HF70" s="230"/>
      <c r="HG70" s="230"/>
      <c r="HH70" s="230"/>
      <c r="HI70" s="230"/>
      <c r="HJ70" s="230"/>
      <c r="HK70" s="230"/>
      <c r="HL70" s="230"/>
      <c r="HM70" s="230"/>
      <c r="HN70" s="230"/>
      <c r="HO70" s="230"/>
      <c r="HP70" s="230"/>
      <c r="HQ70" s="230"/>
      <c r="HR70" s="230"/>
      <c r="HS70" s="230"/>
      <c r="HT70" s="230"/>
      <c r="HU70" s="230"/>
      <c r="HV70" s="230"/>
      <c r="HW70" s="230"/>
      <c r="HX70" s="230"/>
      <c r="HY70" s="230"/>
      <c r="HZ70" s="230"/>
      <c r="IA70" s="230"/>
      <c r="IB70" s="230"/>
      <c r="IC70" s="230"/>
      <c r="ID70" s="230"/>
      <c r="IE70" s="230"/>
      <c r="IF70" s="230"/>
      <c r="IG70" s="230"/>
      <c r="IH70" s="230"/>
      <c r="II70" s="230"/>
      <c r="IJ70" s="230"/>
      <c r="IK70" s="230"/>
      <c r="IL70" s="230"/>
      <c r="IM70" s="230"/>
      <c r="IN70" s="230"/>
      <c r="IO70" s="230"/>
      <c r="IP70" s="230"/>
      <c r="IQ70" s="230"/>
      <c r="IR70" s="230"/>
      <c r="IS70" s="230"/>
    </row>
    <row r="71" spans="1:254" s="73" customFormat="1">
      <c r="A71" s="193" t="s">
        <v>1619</v>
      </c>
      <c r="B71" s="193">
        <v>4857.72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30"/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0"/>
      <c r="DJ71" s="230"/>
      <c r="DK71" s="230"/>
      <c r="DL71" s="230"/>
      <c r="DM71" s="230"/>
      <c r="DN71" s="230"/>
      <c r="DO71" s="230"/>
      <c r="DP71" s="230"/>
      <c r="DQ71" s="230"/>
      <c r="DR71" s="230"/>
      <c r="DS71" s="230"/>
      <c r="DT71" s="230"/>
      <c r="DU71" s="230"/>
      <c r="DV71" s="230"/>
      <c r="DW71" s="230"/>
      <c r="DX71" s="230"/>
      <c r="DY71" s="230"/>
      <c r="DZ71" s="230"/>
      <c r="EA71" s="230"/>
      <c r="EB71" s="230"/>
      <c r="EC71" s="230"/>
      <c r="ED71" s="230"/>
      <c r="EE71" s="230"/>
      <c r="EF71" s="230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0"/>
      <c r="ES71" s="230"/>
      <c r="ET71" s="230"/>
      <c r="EU71" s="230"/>
      <c r="EV71" s="230"/>
      <c r="EW71" s="230"/>
      <c r="EX71" s="230"/>
      <c r="EY71" s="230"/>
      <c r="EZ71" s="230"/>
      <c r="FA71" s="230"/>
      <c r="FB71" s="230"/>
      <c r="FC71" s="230"/>
      <c r="FD71" s="230"/>
      <c r="FE71" s="230"/>
      <c r="FF71" s="230"/>
      <c r="FG71" s="230"/>
      <c r="FH71" s="230"/>
      <c r="FI71" s="230"/>
      <c r="FJ71" s="230"/>
      <c r="FK71" s="230"/>
      <c r="FL71" s="230"/>
      <c r="FM71" s="230"/>
      <c r="FN71" s="230"/>
      <c r="FO71" s="230"/>
      <c r="FP71" s="230"/>
      <c r="FQ71" s="230"/>
      <c r="FR71" s="230"/>
      <c r="FS71" s="230"/>
      <c r="FT71" s="230"/>
      <c r="FU71" s="230"/>
      <c r="FV71" s="230"/>
      <c r="FW71" s="230"/>
      <c r="FX71" s="230"/>
      <c r="FY71" s="230"/>
      <c r="FZ71" s="230"/>
      <c r="GA71" s="230"/>
      <c r="GB71" s="230"/>
      <c r="GC71" s="230"/>
      <c r="GD71" s="230"/>
      <c r="GE71" s="230"/>
      <c r="GF71" s="230"/>
      <c r="GG71" s="230"/>
      <c r="GH71" s="230"/>
      <c r="GI71" s="230"/>
      <c r="GJ71" s="230"/>
      <c r="GK71" s="230"/>
      <c r="GL71" s="230"/>
      <c r="GM71" s="230"/>
      <c r="GN71" s="230"/>
      <c r="GO71" s="230"/>
      <c r="GP71" s="230"/>
      <c r="GQ71" s="230"/>
      <c r="GR71" s="230"/>
      <c r="GS71" s="230"/>
      <c r="GT71" s="230"/>
      <c r="GU71" s="230"/>
      <c r="GV71" s="230"/>
      <c r="GW71" s="230"/>
      <c r="GX71" s="230"/>
      <c r="GY71" s="230"/>
      <c r="GZ71" s="230"/>
      <c r="HA71" s="230"/>
      <c r="HB71" s="230"/>
      <c r="HC71" s="230"/>
      <c r="HD71" s="230"/>
      <c r="HE71" s="230"/>
      <c r="HF71" s="230"/>
      <c r="HG71" s="230"/>
      <c r="HH71" s="230"/>
      <c r="HI71" s="230"/>
      <c r="HJ71" s="230"/>
      <c r="HK71" s="230"/>
      <c r="HL71" s="230"/>
      <c r="HM71" s="230"/>
      <c r="HN71" s="230"/>
      <c r="HO71" s="230"/>
      <c r="HP71" s="230"/>
      <c r="HQ71" s="230"/>
      <c r="HR71" s="230"/>
      <c r="HS71" s="230"/>
      <c r="HT71" s="230"/>
      <c r="HU71" s="230"/>
      <c r="HV71" s="230"/>
      <c r="HW71" s="230"/>
      <c r="HX71" s="230"/>
      <c r="HY71" s="230"/>
      <c r="HZ71" s="230"/>
      <c r="IA71" s="230"/>
      <c r="IB71" s="230"/>
      <c r="IC71" s="230"/>
      <c r="ID71" s="230"/>
      <c r="IE71" s="230"/>
      <c r="IF71" s="230"/>
      <c r="IG71" s="230"/>
      <c r="IH71" s="230"/>
      <c r="II71" s="230"/>
      <c r="IJ71" s="230"/>
      <c r="IK71" s="230"/>
      <c r="IL71" s="230"/>
      <c r="IM71" s="230"/>
      <c r="IN71" s="230"/>
      <c r="IO71" s="230"/>
      <c r="IP71" s="230"/>
      <c r="IQ71" s="230"/>
      <c r="IR71" s="230"/>
      <c r="IS71" s="230"/>
    </row>
    <row r="72" spans="1:254">
      <c r="A72" s="181" t="s">
        <v>1610</v>
      </c>
      <c r="B72" s="193">
        <f>B68+B69+B70-B73+B71</f>
        <v>229492.88999999998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79"/>
      <c r="FK72" s="179"/>
      <c r="FL72" s="179"/>
      <c r="FM72" s="179"/>
      <c r="FN72" s="179"/>
      <c r="FO72" s="179"/>
      <c r="FP72" s="179"/>
      <c r="FQ72" s="179"/>
      <c r="FR72" s="179"/>
      <c r="FS72" s="179"/>
      <c r="FT72" s="179"/>
      <c r="FU72" s="179"/>
      <c r="FV72" s="179"/>
      <c r="FW72" s="179"/>
      <c r="FX72" s="179"/>
      <c r="FY72" s="179"/>
      <c r="FZ72" s="179"/>
      <c r="GA72" s="179"/>
      <c r="GB72" s="179"/>
      <c r="GC72" s="179"/>
      <c r="GD72" s="179"/>
      <c r="GE72" s="179"/>
      <c r="GF72" s="179"/>
      <c r="GG72" s="179"/>
      <c r="GH72" s="179"/>
      <c r="GI72" s="179"/>
      <c r="GJ72" s="179"/>
      <c r="GK72" s="179"/>
      <c r="GL72" s="179"/>
      <c r="GM72" s="179"/>
      <c r="GN72" s="179"/>
      <c r="GO72" s="179"/>
      <c r="GP72" s="179"/>
      <c r="GQ72" s="179"/>
      <c r="GR72" s="179"/>
      <c r="GS72" s="179"/>
      <c r="GT72" s="179"/>
      <c r="GU72" s="179"/>
      <c r="GV72" s="179"/>
      <c r="GW72" s="179"/>
      <c r="GX72" s="179"/>
      <c r="GY72" s="179"/>
      <c r="GZ72" s="179"/>
      <c r="HA72" s="179"/>
      <c r="HB72" s="179"/>
      <c r="HC72" s="179"/>
      <c r="HD72" s="179"/>
      <c r="HE72" s="179"/>
      <c r="HF72" s="179"/>
      <c r="HG72" s="179"/>
      <c r="HH72" s="179"/>
      <c r="HI72" s="179"/>
      <c r="HJ72" s="179"/>
      <c r="HK72" s="179"/>
      <c r="HL72" s="179"/>
      <c r="HM72" s="179"/>
      <c r="HN72" s="179"/>
      <c r="HO72" s="179"/>
      <c r="HP72" s="179"/>
      <c r="HQ72" s="179"/>
      <c r="HR72" s="179"/>
      <c r="HS72" s="179"/>
      <c r="HT72" s="179"/>
      <c r="HU72" s="179"/>
      <c r="HV72" s="179"/>
      <c r="HW72" s="179"/>
      <c r="HX72" s="179"/>
      <c r="HY72" s="179"/>
      <c r="HZ72" s="179"/>
      <c r="IA72" s="179"/>
      <c r="IB72" s="179"/>
      <c r="IC72" s="179"/>
      <c r="ID72" s="179"/>
      <c r="IE72" s="179"/>
      <c r="IF72" s="179"/>
      <c r="IG72" s="179"/>
      <c r="IH72" s="179"/>
      <c r="II72" s="179"/>
      <c r="IJ72" s="179"/>
      <c r="IK72" s="179"/>
      <c r="IL72" s="179"/>
      <c r="IM72" s="179"/>
      <c r="IN72" s="179"/>
      <c r="IO72" s="179"/>
      <c r="IP72" s="179"/>
      <c r="IQ72" s="179"/>
      <c r="IR72" s="179"/>
      <c r="IS72" s="179"/>
    </row>
    <row r="73" spans="1:254" s="73" customFormat="1">
      <c r="A73" s="193" t="s">
        <v>1609</v>
      </c>
      <c r="B73" s="193">
        <v>127547.21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230"/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0"/>
      <c r="DZ73" s="230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0"/>
      <c r="EM73" s="230"/>
      <c r="EN73" s="230"/>
      <c r="EO73" s="230"/>
      <c r="EP73" s="230"/>
      <c r="EQ73" s="230"/>
      <c r="ER73" s="230"/>
      <c r="ES73" s="230"/>
      <c r="ET73" s="230"/>
      <c r="EU73" s="230"/>
      <c r="EV73" s="230"/>
      <c r="EW73" s="230"/>
      <c r="EX73" s="230"/>
      <c r="EY73" s="230"/>
      <c r="EZ73" s="230"/>
      <c r="FA73" s="230"/>
      <c r="FB73" s="230"/>
      <c r="FC73" s="230"/>
      <c r="FD73" s="230"/>
      <c r="FE73" s="230"/>
      <c r="FF73" s="230"/>
      <c r="FG73" s="230"/>
      <c r="FH73" s="230"/>
      <c r="FI73" s="230"/>
      <c r="FJ73" s="230"/>
      <c r="FK73" s="230"/>
      <c r="FL73" s="230"/>
      <c r="FM73" s="230"/>
      <c r="FN73" s="230"/>
      <c r="FO73" s="230"/>
      <c r="FP73" s="230"/>
      <c r="FQ73" s="230"/>
      <c r="FR73" s="230"/>
      <c r="FS73" s="230"/>
      <c r="FT73" s="230"/>
      <c r="FU73" s="230"/>
      <c r="FV73" s="230"/>
      <c r="FW73" s="230"/>
      <c r="FX73" s="230"/>
      <c r="FY73" s="230"/>
      <c r="FZ73" s="230"/>
      <c r="GA73" s="230"/>
      <c r="GB73" s="230"/>
      <c r="GC73" s="230"/>
      <c r="GD73" s="230"/>
      <c r="GE73" s="230"/>
      <c r="GF73" s="230"/>
      <c r="GG73" s="230"/>
      <c r="GH73" s="230"/>
      <c r="GI73" s="230"/>
      <c r="GJ73" s="230"/>
      <c r="GK73" s="230"/>
      <c r="GL73" s="230"/>
      <c r="GM73" s="230"/>
      <c r="GN73" s="230"/>
      <c r="GO73" s="230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/>
      <c r="HC73" s="230"/>
      <c r="HD73" s="230"/>
      <c r="HE73" s="230"/>
      <c r="HF73" s="230"/>
      <c r="HG73" s="230"/>
      <c r="HH73" s="230"/>
      <c r="HI73" s="230"/>
      <c r="HJ73" s="230"/>
      <c r="HK73" s="230"/>
      <c r="HL73" s="230"/>
      <c r="HM73" s="230"/>
      <c r="HN73" s="230"/>
      <c r="HO73" s="230"/>
      <c r="HP73" s="230"/>
      <c r="HQ73" s="230"/>
      <c r="HR73" s="230"/>
      <c r="HS73" s="230"/>
      <c r="HT73" s="230"/>
      <c r="HU73" s="230"/>
      <c r="HV73" s="230"/>
      <c r="HW73" s="230"/>
      <c r="HX73" s="230"/>
      <c r="HY73" s="230"/>
      <c r="HZ73" s="230"/>
      <c r="IA73" s="230"/>
      <c r="IB73" s="230"/>
      <c r="IC73" s="230"/>
      <c r="ID73" s="230"/>
      <c r="IE73" s="230"/>
      <c r="IF73" s="230"/>
      <c r="IG73" s="230"/>
      <c r="IH73" s="230"/>
      <c r="II73" s="230"/>
      <c r="IJ73" s="230"/>
      <c r="IK73" s="230"/>
      <c r="IL73" s="230"/>
      <c r="IM73" s="230"/>
      <c r="IN73" s="230"/>
      <c r="IO73" s="230"/>
      <c r="IP73" s="230"/>
      <c r="IQ73" s="230"/>
      <c r="IR73" s="230"/>
      <c r="IS73" s="230"/>
    </row>
    <row r="74" spans="1:254" s="73" customFormat="1" ht="22.5" customHeight="1">
      <c r="A74" s="234" t="s">
        <v>1604</v>
      </c>
      <c r="B74" s="196">
        <f>B72</f>
        <v>229492.88999999998</v>
      </c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230"/>
      <c r="CJ74" s="230"/>
      <c r="CK74" s="230"/>
      <c r="CL74" s="230"/>
      <c r="CM74" s="230"/>
      <c r="CN74" s="230"/>
      <c r="CO74" s="230"/>
      <c r="CP74" s="230"/>
      <c r="CQ74" s="230"/>
      <c r="CR74" s="230"/>
      <c r="CS74" s="230"/>
      <c r="CT74" s="230"/>
      <c r="CU74" s="230"/>
      <c r="CV74" s="230"/>
      <c r="CW74" s="230"/>
      <c r="CX74" s="230"/>
      <c r="CY74" s="230"/>
      <c r="CZ74" s="230"/>
      <c r="DA74" s="230"/>
      <c r="DB74" s="230"/>
      <c r="DC74" s="230"/>
      <c r="DD74" s="230"/>
      <c r="DE74" s="230"/>
      <c r="DF74" s="230"/>
      <c r="DG74" s="230"/>
      <c r="DH74" s="230"/>
      <c r="DI74" s="230"/>
      <c r="DJ74" s="230"/>
      <c r="DK74" s="230"/>
      <c r="DL74" s="230"/>
      <c r="DM74" s="230"/>
      <c r="DN74" s="230"/>
      <c r="DO74" s="230"/>
      <c r="DP74" s="230"/>
      <c r="DQ74" s="230"/>
      <c r="DR74" s="230"/>
      <c r="DS74" s="230"/>
      <c r="DT74" s="230"/>
      <c r="DU74" s="230"/>
      <c r="DV74" s="230"/>
      <c r="DW74" s="230"/>
      <c r="DX74" s="230"/>
      <c r="DY74" s="230"/>
      <c r="DZ74" s="230"/>
      <c r="EA74" s="230"/>
      <c r="EB74" s="230"/>
      <c r="EC74" s="230"/>
      <c r="ED74" s="230"/>
      <c r="EE74" s="230"/>
      <c r="EF74" s="230"/>
      <c r="EG74" s="230"/>
      <c r="EH74" s="230"/>
      <c r="EI74" s="230"/>
      <c r="EJ74" s="230"/>
      <c r="EK74" s="230"/>
      <c r="EL74" s="230"/>
      <c r="EM74" s="230"/>
      <c r="EN74" s="230"/>
      <c r="EO74" s="230"/>
      <c r="EP74" s="230"/>
      <c r="EQ74" s="230"/>
      <c r="ER74" s="230"/>
      <c r="ES74" s="230"/>
      <c r="ET74" s="230"/>
      <c r="EU74" s="230"/>
      <c r="EV74" s="230"/>
      <c r="EW74" s="230"/>
      <c r="EX74" s="230"/>
      <c r="EY74" s="230"/>
      <c r="EZ74" s="230"/>
      <c r="FA74" s="230"/>
      <c r="FB74" s="230"/>
      <c r="FC74" s="230"/>
      <c r="FD74" s="230"/>
      <c r="FE74" s="230"/>
      <c r="FF74" s="230"/>
      <c r="FG74" s="230"/>
      <c r="FH74" s="230"/>
      <c r="FI74" s="230"/>
      <c r="FJ74" s="230"/>
      <c r="FK74" s="230"/>
      <c r="FL74" s="230"/>
      <c r="FM74" s="230"/>
      <c r="FN74" s="230"/>
      <c r="FO74" s="230"/>
      <c r="FP74" s="230"/>
      <c r="FQ74" s="230"/>
      <c r="FR74" s="230"/>
      <c r="FS74" s="230"/>
      <c r="FT74" s="230"/>
      <c r="FU74" s="230"/>
      <c r="FV74" s="230"/>
      <c r="FW74" s="230"/>
      <c r="FX74" s="230"/>
      <c r="FY74" s="230"/>
      <c r="FZ74" s="230"/>
      <c r="GA74" s="230"/>
      <c r="GB74" s="230"/>
      <c r="GC74" s="230"/>
      <c r="GD74" s="230"/>
      <c r="GE74" s="230"/>
      <c r="GF74" s="230"/>
      <c r="GG74" s="230"/>
      <c r="GH74" s="230"/>
      <c r="GI74" s="230"/>
      <c r="GJ74" s="230"/>
      <c r="GK74" s="230"/>
      <c r="GL74" s="230"/>
      <c r="GM74" s="230"/>
      <c r="GN74" s="230"/>
      <c r="GO74" s="230"/>
      <c r="GP74" s="230"/>
      <c r="GQ74" s="230"/>
      <c r="GR74" s="230"/>
      <c r="GS74" s="230"/>
      <c r="GT74" s="230"/>
      <c r="GU74" s="230"/>
      <c r="GV74" s="230"/>
      <c r="GW74" s="230"/>
      <c r="GX74" s="230"/>
      <c r="GY74" s="230"/>
      <c r="GZ74" s="230"/>
      <c r="HA74" s="230"/>
      <c r="HB74" s="230"/>
      <c r="HC74" s="230"/>
      <c r="HD74" s="230"/>
      <c r="HE74" s="230"/>
      <c r="HF74" s="230"/>
      <c r="HG74" s="230"/>
      <c r="HH74" s="230"/>
      <c r="HI74" s="230"/>
      <c r="HJ74" s="230"/>
      <c r="HK74" s="230"/>
      <c r="HL74" s="230"/>
      <c r="HM74" s="230"/>
      <c r="HN74" s="230"/>
      <c r="HO74" s="230"/>
      <c r="HP74" s="230"/>
      <c r="HQ74" s="230"/>
      <c r="HR74" s="230"/>
      <c r="HS74" s="230"/>
      <c r="HT74" s="230"/>
      <c r="HU74" s="230"/>
      <c r="HV74" s="230"/>
      <c r="HW74" s="230"/>
      <c r="HX74" s="230"/>
      <c r="HY74" s="230"/>
      <c r="HZ74" s="230"/>
      <c r="IA74" s="230"/>
      <c r="IB74" s="230"/>
      <c r="IC74" s="230"/>
      <c r="ID74" s="230"/>
      <c r="IE74" s="230"/>
      <c r="IF74" s="230"/>
      <c r="IG74" s="230"/>
      <c r="IH74" s="230"/>
      <c r="II74" s="230"/>
      <c r="IJ74" s="230"/>
      <c r="IK74" s="230"/>
      <c r="IL74" s="230"/>
      <c r="IM74" s="230"/>
      <c r="IN74" s="230"/>
      <c r="IO74" s="230"/>
      <c r="IP74" s="230"/>
      <c r="IQ74" s="230"/>
      <c r="IR74" s="230"/>
      <c r="IS74" s="230"/>
    </row>
    <row r="75" spans="1:254">
      <c r="A75" s="179"/>
      <c r="B75" s="197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79"/>
      <c r="FK75" s="179"/>
      <c r="FL75" s="179"/>
      <c r="FM75" s="179"/>
      <c r="FN75" s="179"/>
      <c r="FO75" s="179"/>
      <c r="FP75" s="179"/>
      <c r="FQ75" s="179"/>
      <c r="FR75" s="179"/>
      <c r="FS75" s="179"/>
      <c r="FT75" s="179"/>
      <c r="FU75" s="179"/>
      <c r="FV75" s="179"/>
      <c r="FW75" s="179"/>
      <c r="FX75" s="179"/>
      <c r="FY75" s="179"/>
      <c r="FZ75" s="179"/>
      <c r="GA75" s="179"/>
      <c r="GB75" s="179"/>
      <c r="GC75" s="179"/>
      <c r="GD75" s="179"/>
      <c r="GE75" s="179"/>
      <c r="GF75" s="179"/>
      <c r="GG75" s="179"/>
      <c r="GH75" s="179"/>
      <c r="GI75" s="179"/>
      <c r="GJ75" s="179"/>
      <c r="GK75" s="179"/>
      <c r="GL75" s="179"/>
      <c r="GM75" s="179"/>
      <c r="GN75" s="179"/>
      <c r="GO75" s="179"/>
      <c r="GP75" s="179"/>
      <c r="GQ75" s="179"/>
      <c r="GR75" s="179"/>
      <c r="GS75" s="179"/>
      <c r="GT75" s="179"/>
      <c r="GU75" s="179"/>
      <c r="GV75" s="179"/>
      <c r="GW75" s="179"/>
      <c r="GX75" s="179"/>
      <c r="GY75" s="179"/>
      <c r="GZ75" s="179"/>
      <c r="HA75" s="179"/>
      <c r="HB75" s="179"/>
      <c r="HC75" s="179"/>
      <c r="HD75" s="179"/>
      <c r="HE75" s="179"/>
      <c r="HF75" s="179"/>
      <c r="HG75" s="179"/>
      <c r="HH75" s="179"/>
      <c r="HI75" s="179"/>
      <c r="HJ75" s="179"/>
      <c r="HK75" s="179"/>
      <c r="HL75" s="179"/>
      <c r="HM75" s="179"/>
      <c r="HN75" s="179"/>
      <c r="HO75" s="179"/>
      <c r="HP75" s="179"/>
      <c r="HQ75" s="179"/>
      <c r="HR75" s="179"/>
      <c r="HS75" s="179"/>
      <c r="HT75" s="179"/>
      <c r="HU75" s="179"/>
      <c r="HV75" s="179"/>
      <c r="HW75" s="179"/>
      <c r="HX75" s="179"/>
      <c r="HY75" s="179"/>
      <c r="HZ75" s="179"/>
      <c r="IA75" s="179"/>
      <c r="IB75" s="179"/>
      <c r="IC75" s="179"/>
      <c r="ID75" s="179"/>
      <c r="IE75" s="179"/>
      <c r="IF75" s="179"/>
      <c r="IG75" s="179"/>
      <c r="IH75" s="179"/>
      <c r="II75" s="179"/>
      <c r="IJ75" s="179"/>
      <c r="IK75" s="179"/>
      <c r="IL75" s="179"/>
      <c r="IM75" s="179"/>
      <c r="IN75" s="179"/>
      <c r="IO75" s="179"/>
      <c r="IP75" s="179"/>
      <c r="IQ75" s="179"/>
      <c r="IR75" s="179"/>
      <c r="IS75" s="179"/>
    </row>
    <row r="76" spans="1:254">
      <c r="A76" s="180" t="s">
        <v>1606</v>
      </c>
      <c r="B76" s="198">
        <f>B78+B81+B83+B84+B86+B88+B89+B79+B87+B82+B80</f>
        <v>290871.42761900212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  <c r="DP76" s="179"/>
      <c r="DQ76" s="179"/>
      <c r="DR76" s="179"/>
      <c r="DS76" s="179"/>
      <c r="DT76" s="179"/>
      <c r="DU76" s="179"/>
      <c r="DV76" s="179"/>
      <c r="DW76" s="179"/>
      <c r="DX76" s="179"/>
      <c r="DY76" s="179"/>
      <c r="DZ76" s="179"/>
      <c r="EA76" s="179"/>
      <c r="EB76" s="179"/>
      <c r="EC76" s="179"/>
      <c r="ED76" s="179"/>
      <c r="EE76" s="179"/>
      <c r="EF76" s="179"/>
      <c r="EG76" s="179"/>
      <c r="EH76" s="179"/>
      <c r="EI76" s="179"/>
      <c r="EJ76" s="179"/>
      <c r="EK76" s="179"/>
      <c r="EL76" s="179"/>
      <c r="EM76" s="179"/>
      <c r="EN76" s="179"/>
      <c r="EO76" s="179"/>
      <c r="EP76" s="179"/>
      <c r="EQ76" s="179"/>
      <c r="ER76" s="179"/>
      <c r="ES76" s="179"/>
      <c r="ET76" s="179"/>
      <c r="EU76" s="179"/>
      <c r="EV76" s="179"/>
      <c r="EW76" s="179"/>
      <c r="EX76" s="179"/>
      <c r="EY76" s="179"/>
      <c r="EZ76" s="179"/>
      <c r="FA76" s="179"/>
      <c r="FB76" s="179"/>
      <c r="FC76" s="179"/>
      <c r="FD76" s="179"/>
      <c r="FE76" s="179"/>
      <c r="FF76" s="179"/>
      <c r="FG76" s="179"/>
      <c r="FH76" s="179"/>
      <c r="FI76" s="179"/>
      <c r="FJ76" s="179"/>
      <c r="FK76" s="179"/>
      <c r="FL76" s="179"/>
      <c r="FM76" s="179"/>
      <c r="FN76" s="179"/>
      <c r="FO76" s="179"/>
      <c r="FP76" s="179"/>
      <c r="FQ76" s="179"/>
      <c r="FR76" s="179"/>
      <c r="FS76" s="179"/>
      <c r="FT76" s="179"/>
      <c r="FU76" s="179"/>
      <c r="FV76" s="179"/>
      <c r="FW76" s="179"/>
      <c r="FX76" s="179"/>
      <c r="FY76" s="179"/>
      <c r="FZ76" s="179"/>
      <c r="GA76" s="179"/>
      <c r="GB76" s="179"/>
      <c r="GC76" s="179"/>
      <c r="GD76" s="179"/>
      <c r="GE76" s="179"/>
      <c r="GF76" s="179"/>
      <c r="GG76" s="179"/>
      <c r="GH76" s="179"/>
      <c r="GI76" s="179"/>
      <c r="GJ76" s="179"/>
      <c r="GK76" s="179"/>
      <c r="GL76" s="179"/>
      <c r="GM76" s="179"/>
      <c r="GN76" s="179"/>
      <c r="GO76" s="179"/>
      <c r="GP76" s="179"/>
      <c r="GQ76" s="179"/>
      <c r="GR76" s="179"/>
      <c r="GS76" s="179"/>
      <c r="GT76" s="179"/>
      <c r="GU76" s="179"/>
      <c r="GV76" s="179"/>
      <c r="GW76" s="179"/>
      <c r="GX76" s="179"/>
      <c r="GY76" s="179"/>
      <c r="GZ76" s="179"/>
      <c r="HA76" s="179"/>
      <c r="HB76" s="179"/>
      <c r="HC76" s="179"/>
      <c r="HD76" s="179"/>
      <c r="HE76" s="179"/>
      <c r="HF76" s="179"/>
      <c r="HG76" s="179"/>
      <c r="HH76" s="179"/>
      <c r="HI76" s="179"/>
      <c r="HJ76" s="179"/>
      <c r="HK76" s="179"/>
      <c r="HL76" s="179"/>
      <c r="HM76" s="179"/>
      <c r="HN76" s="179"/>
      <c r="HO76" s="179"/>
      <c r="HP76" s="179"/>
      <c r="HQ76" s="179"/>
      <c r="HR76" s="179"/>
      <c r="HS76" s="179"/>
      <c r="HT76" s="179"/>
      <c r="HU76" s="179"/>
      <c r="HV76" s="179"/>
      <c r="HW76" s="179"/>
      <c r="HX76" s="179"/>
      <c r="HY76" s="179"/>
      <c r="HZ76" s="179"/>
      <c r="IA76" s="179"/>
      <c r="IB76" s="179"/>
      <c r="IC76" s="179"/>
      <c r="ID76" s="179"/>
      <c r="IE76" s="179"/>
      <c r="IF76" s="179"/>
      <c r="IG76" s="179"/>
      <c r="IH76" s="179"/>
      <c r="II76" s="179"/>
      <c r="IJ76" s="179"/>
      <c r="IK76" s="179"/>
      <c r="IL76" s="179"/>
      <c r="IM76" s="179"/>
      <c r="IN76" s="179"/>
      <c r="IO76" s="179"/>
      <c r="IP76" s="179"/>
      <c r="IQ76" s="179"/>
      <c r="IR76" s="179"/>
      <c r="IS76" s="179"/>
    </row>
    <row r="77" spans="1:254">
      <c r="A77" s="181" t="s">
        <v>599</v>
      </c>
      <c r="B77" s="213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9"/>
      <c r="EF77" s="179"/>
      <c r="EG77" s="179"/>
      <c r="EH77" s="179"/>
      <c r="EI77" s="179"/>
      <c r="EJ77" s="179"/>
      <c r="EK77" s="179"/>
      <c r="EL77" s="179"/>
      <c r="EM77" s="179"/>
      <c r="EN77" s="179"/>
      <c r="EO77" s="179"/>
      <c r="EP77" s="179"/>
      <c r="EQ77" s="179"/>
      <c r="ER77" s="179"/>
      <c r="ES77" s="179"/>
      <c r="ET77" s="179"/>
      <c r="EU77" s="179"/>
      <c r="EV77" s="179"/>
      <c r="EW77" s="179"/>
      <c r="EX77" s="179"/>
      <c r="EY77" s="179"/>
      <c r="EZ77" s="179"/>
      <c r="FA77" s="179"/>
      <c r="FB77" s="179"/>
      <c r="FC77" s="179"/>
      <c r="FD77" s="179"/>
      <c r="FE77" s="179"/>
      <c r="FF77" s="179"/>
      <c r="FG77" s="179"/>
      <c r="FH77" s="179"/>
      <c r="FI77" s="179"/>
      <c r="FJ77" s="179"/>
      <c r="FK77" s="179"/>
      <c r="FL77" s="179"/>
      <c r="FM77" s="179"/>
      <c r="FN77" s="179"/>
      <c r="FO77" s="179"/>
      <c r="FP77" s="179"/>
      <c r="FQ77" s="179"/>
      <c r="FR77" s="179"/>
      <c r="FS77" s="179"/>
      <c r="FT77" s="179"/>
      <c r="FU77" s="179"/>
      <c r="FV77" s="179"/>
      <c r="FW77" s="179"/>
      <c r="FX77" s="179"/>
      <c r="FY77" s="179"/>
      <c r="FZ77" s="179"/>
      <c r="GA77" s="179"/>
      <c r="GB77" s="179"/>
      <c r="GC77" s="179"/>
      <c r="GD77" s="179"/>
      <c r="GE77" s="179"/>
      <c r="GF77" s="179"/>
      <c r="GG77" s="179"/>
      <c r="GH77" s="179"/>
      <c r="GI77" s="179"/>
      <c r="GJ77" s="179"/>
      <c r="GK77" s="179"/>
      <c r="GL77" s="179"/>
      <c r="GM77" s="179"/>
      <c r="GN77" s="179"/>
      <c r="GO77" s="179"/>
      <c r="GP77" s="179"/>
      <c r="GQ77" s="179"/>
      <c r="GR77" s="179"/>
      <c r="GS77" s="179"/>
      <c r="GT77" s="179"/>
      <c r="GU77" s="179"/>
      <c r="GV77" s="179"/>
      <c r="GW77" s="179"/>
      <c r="GX77" s="179"/>
      <c r="GY77" s="179"/>
      <c r="GZ77" s="179"/>
      <c r="HA77" s="179"/>
      <c r="HB77" s="179"/>
      <c r="HC77" s="179"/>
      <c r="HD77" s="179"/>
      <c r="HE77" s="179"/>
      <c r="HF77" s="179"/>
      <c r="HG77" s="179"/>
      <c r="HH77" s="179"/>
      <c r="HI77" s="179"/>
      <c r="HJ77" s="179"/>
      <c r="HK77" s="179"/>
      <c r="HL77" s="179"/>
      <c r="HM77" s="179"/>
      <c r="HN77" s="179"/>
      <c r="HO77" s="179"/>
      <c r="HP77" s="179"/>
      <c r="HQ77" s="179"/>
      <c r="HR77" s="179"/>
      <c r="HS77" s="179"/>
      <c r="HT77" s="179"/>
      <c r="HU77" s="179"/>
      <c r="HV77" s="179"/>
      <c r="HW77" s="179"/>
      <c r="HX77" s="179"/>
      <c r="HY77" s="179"/>
      <c r="HZ77" s="179"/>
      <c r="IA77" s="179"/>
      <c r="IB77" s="179"/>
      <c r="IC77" s="179"/>
      <c r="ID77" s="179"/>
      <c r="IE77" s="179"/>
      <c r="IF77" s="179"/>
      <c r="IG77" s="179"/>
      <c r="IH77" s="179"/>
      <c r="II77" s="179"/>
      <c r="IJ77" s="179"/>
      <c r="IK77" s="179"/>
      <c r="IL77" s="179"/>
      <c r="IM77" s="179"/>
      <c r="IN77" s="179"/>
      <c r="IO77" s="179"/>
      <c r="IP77" s="179"/>
      <c r="IQ77" s="179"/>
      <c r="IR77" s="179"/>
      <c r="IS77" s="179"/>
    </row>
    <row r="78" spans="1:254" s="73" customFormat="1">
      <c r="A78" s="193" t="s">
        <v>521</v>
      </c>
      <c r="B78" s="194">
        <f>959300/45797.5*B66*1.25</f>
        <v>19291.780119002127</v>
      </c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/>
      <c r="CL78" s="230"/>
      <c r="CM78" s="230"/>
      <c r="CN78" s="230"/>
      <c r="CO78" s="230"/>
      <c r="CP78" s="230"/>
      <c r="CQ78" s="230"/>
      <c r="CR78" s="230"/>
      <c r="CS78" s="230"/>
      <c r="CT78" s="230"/>
      <c r="CU78" s="230"/>
      <c r="CV78" s="230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H78" s="230"/>
      <c r="DI78" s="230"/>
      <c r="DJ78" s="230"/>
      <c r="DK78" s="230"/>
      <c r="DL78" s="230"/>
      <c r="DM78" s="230"/>
      <c r="DN78" s="230"/>
      <c r="DO78" s="230"/>
      <c r="DP78" s="230"/>
      <c r="DQ78" s="230"/>
      <c r="DR78" s="230"/>
      <c r="DS78" s="230"/>
      <c r="DT78" s="230"/>
      <c r="DU78" s="230"/>
      <c r="DV78" s="230"/>
      <c r="DW78" s="230"/>
      <c r="DX78" s="230"/>
      <c r="DY78" s="230"/>
      <c r="DZ78" s="230"/>
      <c r="EA78" s="230"/>
      <c r="EB78" s="230"/>
      <c r="EC78" s="230"/>
      <c r="ED78" s="230"/>
      <c r="EE78" s="230"/>
      <c r="EF78" s="230"/>
      <c r="EG78" s="230"/>
      <c r="EH78" s="230"/>
      <c r="EI78" s="230"/>
      <c r="EJ78" s="230"/>
      <c r="EK78" s="230"/>
      <c r="EL78" s="230"/>
      <c r="EM78" s="230"/>
      <c r="EN78" s="230"/>
      <c r="EO78" s="230"/>
      <c r="EP78" s="230"/>
      <c r="EQ78" s="230"/>
      <c r="ER78" s="230"/>
      <c r="ES78" s="230"/>
      <c r="ET78" s="230"/>
      <c r="EU78" s="230"/>
      <c r="EV78" s="230"/>
      <c r="EW78" s="230"/>
      <c r="EX78" s="230"/>
      <c r="EY78" s="230"/>
      <c r="EZ78" s="230"/>
      <c r="FA78" s="230"/>
      <c r="FB78" s="230"/>
      <c r="FC78" s="230"/>
      <c r="FD78" s="230"/>
      <c r="FE78" s="230"/>
      <c r="FF78" s="230"/>
      <c r="FG78" s="230"/>
      <c r="FH78" s="230"/>
      <c r="FI78" s="230"/>
      <c r="FJ78" s="230"/>
      <c r="FK78" s="230"/>
      <c r="FL78" s="230"/>
      <c r="FM78" s="230"/>
      <c r="FN78" s="230"/>
      <c r="FO78" s="230"/>
      <c r="FP78" s="230"/>
      <c r="FQ78" s="230"/>
      <c r="FR78" s="230"/>
      <c r="FS78" s="230"/>
      <c r="FT78" s="230"/>
      <c r="FU78" s="230"/>
      <c r="FV78" s="230"/>
      <c r="FW78" s="230"/>
      <c r="FX78" s="230"/>
      <c r="FY78" s="230"/>
      <c r="FZ78" s="230"/>
      <c r="GA78" s="230"/>
      <c r="GB78" s="230"/>
      <c r="GC78" s="230"/>
      <c r="GD78" s="230"/>
      <c r="GE78" s="230"/>
      <c r="GF78" s="230"/>
      <c r="GG78" s="230"/>
      <c r="GH78" s="230"/>
      <c r="GI78" s="230"/>
      <c r="GJ78" s="230"/>
      <c r="GK78" s="230"/>
      <c r="GL78" s="230"/>
      <c r="GM78" s="230"/>
      <c r="GN78" s="230"/>
      <c r="GO78" s="230"/>
      <c r="GP78" s="230"/>
      <c r="GQ78" s="230"/>
      <c r="GR78" s="230"/>
      <c r="GS78" s="230"/>
      <c r="GT78" s="230"/>
      <c r="GU78" s="230"/>
      <c r="GV78" s="230"/>
      <c r="GW78" s="230"/>
      <c r="GX78" s="230"/>
      <c r="GY78" s="230"/>
      <c r="GZ78" s="230"/>
      <c r="HA78" s="230"/>
      <c r="HB78" s="230"/>
      <c r="HC78" s="230"/>
      <c r="HD78" s="230"/>
      <c r="HE78" s="230"/>
      <c r="HF78" s="230"/>
      <c r="HG78" s="230"/>
      <c r="HH78" s="230"/>
      <c r="HI78" s="230"/>
      <c r="HJ78" s="230"/>
      <c r="HK78" s="230"/>
      <c r="HL78" s="230"/>
      <c r="HM78" s="230"/>
      <c r="HN78" s="230"/>
      <c r="HO78" s="230"/>
      <c r="HP78" s="230"/>
      <c r="HQ78" s="230"/>
      <c r="HR78" s="230"/>
      <c r="HS78" s="230"/>
      <c r="HT78" s="230"/>
      <c r="HU78" s="230"/>
      <c r="HV78" s="230"/>
      <c r="HW78" s="230"/>
      <c r="HX78" s="230"/>
      <c r="HY78" s="230"/>
      <c r="HZ78" s="230"/>
      <c r="IA78" s="230"/>
      <c r="IB78" s="230"/>
      <c r="IC78" s="230"/>
      <c r="ID78" s="230"/>
      <c r="IE78" s="230"/>
      <c r="IF78" s="230"/>
      <c r="IG78" s="230"/>
      <c r="IH78" s="230"/>
      <c r="II78" s="230"/>
      <c r="IJ78" s="230"/>
      <c r="IK78" s="230"/>
      <c r="IL78" s="230"/>
      <c r="IM78" s="230"/>
      <c r="IN78" s="230"/>
      <c r="IO78" s="230"/>
      <c r="IP78" s="230"/>
      <c r="IQ78" s="230"/>
      <c r="IR78" s="230"/>
      <c r="IS78" s="230"/>
    </row>
    <row r="79" spans="1:254" s="73" customFormat="1">
      <c r="A79" s="193" t="s">
        <v>1570</v>
      </c>
      <c r="B79" s="194">
        <f>115691*1.25</f>
        <v>144613.75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0"/>
      <c r="CH79" s="230"/>
      <c r="CI79" s="230"/>
      <c r="CJ79" s="230"/>
      <c r="CK79" s="230"/>
      <c r="CL79" s="230"/>
      <c r="CM79" s="230"/>
      <c r="CN79" s="230"/>
      <c r="CO79" s="230"/>
      <c r="CP79" s="230"/>
      <c r="CQ79" s="230"/>
      <c r="CR79" s="230"/>
      <c r="CS79" s="230"/>
      <c r="CT79" s="230"/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0"/>
      <c r="DI79" s="230"/>
      <c r="DJ79" s="230"/>
      <c r="DK79" s="230"/>
      <c r="DL79" s="230"/>
      <c r="DM79" s="230"/>
      <c r="DN79" s="230"/>
      <c r="DO79" s="230"/>
      <c r="DP79" s="230"/>
      <c r="DQ79" s="230"/>
      <c r="DR79" s="230"/>
      <c r="DS79" s="230"/>
      <c r="DT79" s="230"/>
      <c r="DU79" s="230"/>
      <c r="DV79" s="230"/>
      <c r="DW79" s="230"/>
      <c r="DX79" s="230"/>
      <c r="DY79" s="230"/>
      <c r="DZ79" s="230"/>
      <c r="EA79" s="230"/>
      <c r="EB79" s="230"/>
      <c r="EC79" s="230"/>
      <c r="ED79" s="230"/>
      <c r="EE79" s="230"/>
      <c r="EF79" s="230"/>
      <c r="EG79" s="230"/>
      <c r="EH79" s="230"/>
      <c r="EI79" s="230"/>
      <c r="EJ79" s="230"/>
      <c r="EK79" s="230"/>
      <c r="EL79" s="230"/>
      <c r="EM79" s="230"/>
      <c r="EN79" s="230"/>
      <c r="EO79" s="230"/>
      <c r="EP79" s="230"/>
      <c r="EQ79" s="230"/>
      <c r="ER79" s="230"/>
      <c r="ES79" s="230"/>
      <c r="ET79" s="230"/>
      <c r="EU79" s="230"/>
      <c r="EV79" s="230"/>
      <c r="EW79" s="230"/>
      <c r="EX79" s="230"/>
      <c r="EY79" s="230"/>
      <c r="EZ79" s="230"/>
      <c r="FA79" s="230"/>
      <c r="FB79" s="230"/>
      <c r="FC79" s="230"/>
      <c r="FD79" s="230"/>
      <c r="FE79" s="230"/>
      <c r="FF79" s="230"/>
      <c r="FG79" s="230"/>
      <c r="FH79" s="230"/>
      <c r="FI79" s="230"/>
      <c r="FJ79" s="230"/>
      <c r="FK79" s="230"/>
      <c r="FL79" s="230"/>
      <c r="FM79" s="230"/>
      <c r="FN79" s="230"/>
      <c r="FO79" s="230"/>
      <c r="FP79" s="230"/>
      <c r="FQ79" s="230"/>
      <c r="FR79" s="230"/>
      <c r="FS79" s="230"/>
      <c r="FT79" s="230"/>
      <c r="FU79" s="230"/>
      <c r="FV79" s="230"/>
      <c r="FW79" s="230"/>
      <c r="FX79" s="230"/>
      <c r="FY79" s="230"/>
      <c r="FZ79" s="230"/>
      <c r="GA79" s="230"/>
      <c r="GB79" s="230"/>
      <c r="GC79" s="230"/>
      <c r="GD79" s="230"/>
      <c r="GE79" s="230"/>
      <c r="GF79" s="230"/>
      <c r="GG79" s="230"/>
      <c r="GH79" s="230"/>
      <c r="GI79" s="230"/>
      <c r="GJ79" s="230"/>
      <c r="GK79" s="230"/>
      <c r="GL79" s="230"/>
      <c r="GM79" s="230"/>
      <c r="GN79" s="230"/>
      <c r="GO79" s="230"/>
      <c r="GP79" s="230"/>
      <c r="GQ79" s="230"/>
      <c r="GR79" s="230"/>
      <c r="GS79" s="230"/>
      <c r="GT79" s="230"/>
      <c r="GU79" s="230"/>
      <c r="GV79" s="230"/>
      <c r="GW79" s="230"/>
      <c r="GX79" s="230"/>
      <c r="GY79" s="230"/>
      <c r="GZ79" s="230"/>
      <c r="HA79" s="230"/>
      <c r="HB79" s="230"/>
      <c r="HC79" s="230"/>
      <c r="HD79" s="230"/>
      <c r="HE79" s="230"/>
      <c r="HF79" s="230"/>
      <c r="HG79" s="230"/>
      <c r="HH79" s="230"/>
      <c r="HI79" s="230"/>
      <c r="HJ79" s="230"/>
      <c r="HK79" s="230"/>
      <c r="HL79" s="230"/>
      <c r="HM79" s="230"/>
      <c r="HN79" s="230"/>
      <c r="HO79" s="230"/>
      <c r="HP79" s="230"/>
      <c r="HQ79" s="230"/>
      <c r="HR79" s="230"/>
      <c r="HS79" s="230"/>
      <c r="HT79" s="230"/>
      <c r="HU79" s="230"/>
      <c r="HV79" s="230"/>
      <c r="HW79" s="230"/>
      <c r="HX79" s="230"/>
      <c r="HY79" s="230"/>
      <c r="HZ79" s="230"/>
      <c r="IA79" s="230"/>
      <c r="IB79" s="230"/>
      <c r="IC79" s="230"/>
      <c r="ID79" s="230"/>
      <c r="IE79" s="230"/>
      <c r="IF79" s="230"/>
      <c r="IG79" s="230"/>
      <c r="IH79" s="230"/>
      <c r="II79" s="230"/>
      <c r="IJ79" s="230"/>
      <c r="IK79" s="230"/>
      <c r="IL79" s="230"/>
      <c r="IM79" s="230"/>
      <c r="IN79" s="230"/>
      <c r="IO79" s="230"/>
      <c r="IP79" s="230"/>
      <c r="IQ79" s="230"/>
      <c r="IR79" s="230"/>
      <c r="IS79" s="230"/>
    </row>
    <row r="80" spans="1:254" s="73" customFormat="1">
      <c r="A80" s="193" t="s">
        <v>987</v>
      </c>
      <c r="B80" s="194">
        <f>0.31*B66*12*1.25</f>
        <v>3426.12</v>
      </c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H80" s="230"/>
      <c r="DI80" s="230"/>
      <c r="DJ80" s="230"/>
      <c r="DK80" s="230"/>
      <c r="DL80" s="230"/>
      <c r="DM80" s="230"/>
      <c r="DN80" s="230"/>
      <c r="DO80" s="230"/>
      <c r="DP80" s="230"/>
      <c r="DQ80" s="230"/>
      <c r="DR80" s="230"/>
      <c r="DS80" s="230"/>
      <c r="DT80" s="230"/>
      <c r="DU80" s="230"/>
      <c r="DV80" s="230"/>
      <c r="DW80" s="230"/>
      <c r="DX80" s="230"/>
      <c r="DY80" s="230"/>
      <c r="DZ80" s="230"/>
      <c r="EA80" s="230"/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0"/>
      <c r="EP80" s="230"/>
      <c r="EQ80" s="230"/>
      <c r="ER80" s="230"/>
      <c r="ES80" s="230"/>
      <c r="ET80" s="230"/>
      <c r="EU80" s="230"/>
      <c r="EV80" s="230"/>
      <c r="EW80" s="230"/>
      <c r="EX80" s="230"/>
      <c r="EY80" s="230"/>
      <c r="EZ80" s="230"/>
      <c r="FA80" s="230"/>
      <c r="FB80" s="230"/>
      <c r="FC80" s="230"/>
      <c r="FD80" s="230"/>
      <c r="FE80" s="230"/>
      <c r="FF80" s="230"/>
      <c r="FG80" s="230"/>
      <c r="FH80" s="230"/>
      <c r="FI80" s="230"/>
      <c r="FJ80" s="230"/>
      <c r="FK80" s="230"/>
      <c r="FL80" s="230"/>
      <c r="FM80" s="230"/>
      <c r="FN80" s="230"/>
      <c r="FO80" s="230"/>
      <c r="FP80" s="230"/>
      <c r="FQ80" s="230"/>
      <c r="FR80" s="230"/>
      <c r="FS80" s="230"/>
      <c r="FT80" s="230"/>
      <c r="FU80" s="230"/>
      <c r="FV80" s="230"/>
      <c r="FW80" s="230"/>
      <c r="FX80" s="230"/>
      <c r="FY80" s="230"/>
      <c r="FZ80" s="230"/>
      <c r="GA80" s="230"/>
      <c r="GB80" s="230"/>
      <c r="GC80" s="230"/>
      <c r="GD80" s="230"/>
      <c r="GE80" s="230"/>
      <c r="GF80" s="230"/>
      <c r="GG80" s="230"/>
      <c r="GH80" s="230"/>
      <c r="GI80" s="230"/>
      <c r="GJ80" s="230"/>
      <c r="GK80" s="230"/>
      <c r="GL80" s="230"/>
      <c r="GM80" s="230"/>
      <c r="GN80" s="230"/>
      <c r="GO80" s="230"/>
      <c r="GP80" s="230"/>
      <c r="GQ80" s="230"/>
      <c r="GR80" s="230"/>
      <c r="GS80" s="230"/>
      <c r="GT80" s="230"/>
      <c r="GU80" s="230"/>
      <c r="GV80" s="230"/>
      <c r="GW80" s="230"/>
      <c r="GX80" s="230"/>
      <c r="GY80" s="230"/>
      <c r="GZ80" s="230"/>
      <c r="HA80" s="230"/>
      <c r="HB80" s="230"/>
      <c r="HC80" s="230"/>
      <c r="HD80" s="230"/>
      <c r="HE80" s="230"/>
      <c r="HF80" s="230"/>
      <c r="HG80" s="230"/>
      <c r="HH80" s="230"/>
      <c r="HI80" s="230"/>
      <c r="HJ80" s="230"/>
      <c r="HK80" s="230"/>
      <c r="HL80" s="230"/>
      <c r="HM80" s="230"/>
      <c r="HN80" s="230"/>
      <c r="HO80" s="230"/>
      <c r="HP80" s="230"/>
      <c r="HQ80" s="230"/>
      <c r="HR80" s="230"/>
      <c r="HS80" s="230"/>
      <c r="HT80" s="230"/>
      <c r="HU80" s="230"/>
      <c r="HV80" s="230"/>
      <c r="HW80" s="230"/>
      <c r="HX80" s="230"/>
      <c r="HY80" s="230"/>
      <c r="HZ80" s="230"/>
      <c r="IA80" s="230"/>
      <c r="IB80" s="230"/>
      <c r="IC80" s="230"/>
      <c r="ID80" s="230"/>
      <c r="IE80" s="230"/>
      <c r="IF80" s="230"/>
      <c r="IG80" s="230"/>
      <c r="IH80" s="230"/>
      <c r="II80" s="230"/>
      <c r="IJ80" s="230"/>
      <c r="IK80" s="230"/>
      <c r="IL80" s="230"/>
      <c r="IM80" s="230"/>
      <c r="IN80" s="230"/>
      <c r="IO80" s="230"/>
      <c r="IP80" s="230"/>
      <c r="IQ80" s="230"/>
      <c r="IR80" s="230"/>
      <c r="IS80" s="230"/>
    </row>
    <row r="81" spans="1:253" s="73" customFormat="1">
      <c r="A81" s="193" t="s">
        <v>520</v>
      </c>
      <c r="B81" s="194">
        <f>0.89*12*B66*1.25</f>
        <v>9836.2799999999988</v>
      </c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30"/>
      <c r="CO81" s="230"/>
      <c r="CP81" s="230"/>
      <c r="CQ81" s="230"/>
      <c r="CR81" s="230"/>
      <c r="CS81" s="230"/>
      <c r="CT81" s="230"/>
      <c r="CU81" s="230"/>
      <c r="CV81" s="230"/>
      <c r="CW81" s="230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H81" s="230"/>
      <c r="DI81" s="230"/>
      <c r="DJ81" s="230"/>
      <c r="DK81" s="230"/>
      <c r="DL81" s="230"/>
      <c r="DM81" s="230"/>
      <c r="DN81" s="230"/>
      <c r="DO81" s="230"/>
      <c r="DP81" s="230"/>
      <c r="DQ81" s="230"/>
      <c r="DR81" s="230"/>
      <c r="DS81" s="230"/>
      <c r="DT81" s="230"/>
      <c r="DU81" s="230"/>
      <c r="DV81" s="230"/>
      <c r="DW81" s="230"/>
      <c r="DX81" s="230"/>
      <c r="DY81" s="230"/>
      <c r="DZ81" s="230"/>
      <c r="EA81" s="230"/>
      <c r="EB81" s="230"/>
      <c r="EC81" s="230"/>
      <c r="ED81" s="230"/>
      <c r="EE81" s="230"/>
      <c r="EF81" s="230"/>
      <c r="EG81" s="230"/>
      <c r="EH81" s="230"/>
      <c r="EI81" s="230"/>
      <c r="EJ81" s="230"/>
      <c r="EK81" s="230"/>
      <c r="EL81" s="230"/>
      <c r="EM81" s="230"/>
      <c r="EN81" s="230"/>
      <c r="EO81" s="230"/>
      <c r="EP81" s="230"/>
      <c r="EQ81" s="230"/>
      <c r="ER81" s="230"/>
      <c r="ES81" s="230"/>
      <c r="ET81" s="230"/>
      <c r="EU81" s="230"/>
      <c r="EV81" s="230"/>
      <c r="EW81" s="230"/>
      <c r="EX81" s="230"/>
      <c r="EY81" s="230"/>
      <c r="EZ81" s="230"/>
      <c r="FA81" s="230"/>
      <c r="FB81" s="230"/>
      <c r="FC81" s="230"/>
      <c r="FD81" s="230"/>
      <c r="FE81" s="230"/>
      <c r="FF81" s="230"/>
      <c r="FG81" s="230"/>
      <c r="FH81" s="230"/>
      <c r="FI81" s="230"/>
      <c r="FJ81" s="230"/>
      <c r="FK81" s="230"/>
      <c r="FL81" s="230"/>
      <c r="FM81" s="230"/>
      <c r="FN81" s="230"/>
      <c r="FO81" s="230"/>
      <c r="FP81" s="230"/>
      <c r="FQ81" s="230"/>
      <c r="FR81" s="230"/>
      <c r="FS81" s="230"/>
      <c r="FT81" s="230"/>
      <c r="FU81" s="230"/>
      <c r="FV81" s="230"/>
      <c r="FW81" s="230"/>
      <c r="FX81" s="230"/>
      <c r="FY81" s="230"/>
      <c r="FZ81" s="230"/>
      <c r="GA81" s="230"/>
      <c r="GB81" s="230"/>
      <c r="GC81" s="230"/>
      <c r="GD81" s="230"/>
      <c r="GE81" s="230"/>
      <c r="GF81" s="230"/>
      <c r="GG81" s="230"/>
      <c r="GH81" s="230"/>
      <c r="GI81" s="230"/>
      <c r="GJ81" s="230"/>
      <c r="GK81" s="230"/>
      <c r="GL81" s="230"/>
      <c r="GM81" s="230"/>
      <c r="GN81" s="230"/>
      <c r="GO81" s="230"/>
      <c r="GP81" s="230"/>
      <c r="GQ81" s="230"/>
      <c r="GR81" s="230"/>
      <c r="GS81" s="230"/>
      <c r="GT81" s="230"/>
      <c r="GU81" s="230"/>
      <c r="GV81" s="230"/>
      <c r="GW81" s="230"/>
      <c r="GX81" s="230"/>
      <c r="GY81" s="230"/>
      <c r="GZ81" s="230"/>
      <c r="HA81" s="230"/>
      <c r="HB81" s="230"/>
      <c r="HC81" s="230"/>
      <c r="HD81" s="230"/>
      <c r="HE81" s="230"/>
      <c r="HF81" s="230"/>
      <c r="HG81" s="230"/>
      <c r="HH81" s="230"/>
      <c r="HI81" s="230"/>
      <c r="HJ81" s="230"/>
      <c r="HK81" s="230"/>
      <c r="HL81" s="230"/>
      <c r="HM81" s="230"/>
      <c r="HN81" s="230"/>
      <c r="HO81" s="230"/>
      <c r="HP81" s="230"/>
      <c r="HQ81" s="230"/>
      <c r="HR81" s="230"/>
      <c r="HS81" s="230"/>
      <c r="HT81" s="230"/>
      <c r="HU81" s="230"/>
      <c r="HV81" s="230"/>
      <c r="HW81" s="230"/>
      <c r="HX81" s="230"/>
      <c r="HY81" s="230"/>
      <c r="HZ81" s="230"/>
      <c r="IA81" s="230"/>
      <c r="IB81" s="230"/>
      <c r="IC81" s="230"/>
      <c r="ID81" s="230"/>
      <c r="IE81" s="230"/>
      <c r="IF81" s="230"/>
      <c r="IG81" s="230"/>
      <c r="IH81" s="230"/>
      <c r="II81" s="230"/>
      <c r="IJ81" s="230"/>
      <c r="IK81" s="230"/>
      <c r="IL81" s="230"/>
      <c r="IM81" s="230"/>
      <c r="IN81" s="230"/>
      <c r="IO81" s="230"/>
      <c r="IP81" s="230"/>
      <c r="IQ81" s="230"/>
      <c r="IR81" s="230"/>
      <c r="IS81" s="230"/>
    </row>
    <row r="82" spans="1:253" s="73" customFormat="1">
      <c r="A82" s="193" t="s">
        <v>1618</v>
      </c>
      <c r="B82" s="194">
        <f>9915.45*1.25</f>
        <v>12394.3125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  <c r="FH82" s="230"/>
      <c r="FI82" s="230"/>
      <c r="FJ82" s="230"/>
      <c r="FK82" s="230"/>
      <c r="FL82" s="230"/>
      <c r="FM82" s="230"/>
      <c r="FN82" s="230"/>
      <c r="FO82" s="230"/>
      <c r="FP82" s="230"/>
      <c r="FQ82" s="230"/>
      <c r="FR82" s="230"/>
      <c r="FS82" s="230"/>
      <c r="FT82" s="230"/>
      <c r="FU82" s="230"/>
      <c r="FV82" s="230"/>
      <c r="FW82" s="230"/>
      <c r="FX82" s="230"/>
      <c r="FY82" s="230"/>
      <c r="FZ82" s="230"/>
      <c r="GA82" s="230"/>
      <c r="GB82" s="230"/>
      <c r="GC82" s="230"/>
      <c r="GD82" s="230"/>
      <c r="GE82" s="230"/>
      <c r="GF82" s="230"/>
      <c r="GG82" s="230"/>
      <c r="GH82" s="230"/>
      <c r="GI82" s="230"/>
      <c r="GJ82" s="230"/>
      <c r="GK82" s="230"/>
      <c r="GL82" s="230"/>
      <c r="GM82" s="230"/>
      <c r="GN82" s="230"/>
      <c r="GO82" s="230"/>
      <c r="GP82" s="230"/>
      <c r="GQ82" s="230"/>
      <c r="GR82" s="230"/>
      <c r="GS82" s="230"/>
      <c r="GT82" s="230"/>
      <c r="GU82" s="230"/>
      <c r="GV82" s="230"/>
      <c r="GW82" s="230"/>
      <c r="GX82" s="230"/>
      <c r="GY82" s="230"/>
      <c r="GZ82" s="230"/>
      <c r="HA82" s="230"/>
      <c r="HB82" s="230"/>
      <c r="HC82" s="230"/>
      <c r="HD82" s="230"/>
      <c r="HE82" s="230"/>
      <c r="HF82" s="230"/>
      <c r="HG82" s="230"/>
      <c r="HH82" s="230"/>
      <c r="HI82" s="230"/>
      <c r="HJ82" s="230"/>
      <c r="HK82" s="230"/>
      <c r="HL82" s="230"/>
      <c r="HM82" s="230"/>
      <c r="HN82" s="230"/>
      <c r="HO82" s="230"/>
      <c r="HP82" s="230"/>
      <c r="HQ82" s="230"/>
      <c r="HR82" s="230"/>
      <c r="HS82" s="230"/>
      <c r="HT82" s="230"/>
      <c r="HU82" s="230"/>
      <c r="HV82" s="230"/>
      <c r="HW82" s="230"/>
      <c r="HX82" s="230"/>
      <c r="HY82" s="230"/>
      <c r="HZ82" s="230"/>
      <c r="IA82" s="230"/>
      <c r="IB82" s="230"/>
      <c r="IC82" s="230"/>
      <c r="ID82" s="230"/>
      <c r="IE82" s="230"/>
      <c r="IF82" s="230"/>
      <c r="IG82" s="230"/>
      <c r="IH82" s="230"/>
      <c r="II82" s="230"/>
      <c r="IJ82" s="230"/>
      <c r="IK82" s="230"/>
      <c r="IL82" s="230"/>
      <c r="IM82" s="230"/>
      <c r="IN82" s="230"/>
      <c r="IO82" s="230"/>
      <c r="IP82" s="230"/>
      <c r="IQ82" s="230"/>
      <c r="IR82" s="230"/>
      <c r="IS82" s="230"/>
    </row>
    <row r="83" spans="1:253">
      <c r="A83" s="181" t="s">
        <v>600</v>
      </c>
      <c r="B83" s="194">
        <f>49*100*1.25</f>
        <v>6125</v>
      </c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79"/>
      <c r="DX83" s="179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79"/>
      <c r="EM83" s="179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79"/>
      <c r="FB83" s="179"/>
      <c r="FC83" s="179"/>
      <c r="FD83" s="179"/>
      <c r="FE83" s="179"/>
      <c r="FF83" s="179"/>
      <c r="FG83" s="179"/>
      <c r="FH83" s="179"/>
      <c r="FI83" s="179"/>
      <c r="FJ83" s="179"/>
      <c r="FK83" s="179"/>
      <c r="FL83" s="179"/>
      <c r="FM83" s="179"/>
      <c r="FN83" s="179"/>
      <c r="FO83" s="179"/>
      <c r="FP83" s="179"/>
      <c r="FQ83" s="179"/>
      <c r="FR83" s="179"/>
      <c r="FS83" s="179"/>
      <c r="FT83" s="179"/>
      <c r="FU83" s="179"/>
      <c r="FV83" s="179"/>
      <c r="FW83" s="179"/>
      <c r="FX83" s="179"/>
      <c r="FY83" s="179"/>
      <c r="FZ83" s="179"/>
      <c r="GA83" s="179"/>
      <c r="GB83" s="179"/>
      <c r="GC83" s="179"/>
      <c r="GD83" s="179"/>
      <c r="GE83" s="179"/>
      <c r="GF83" s="179"/>
      <c r="GG83" s="179"/>
      <c r="GH83" s="179"/>
      <c r="GI83" s="179"/>
      <c r="GJ83" s="179"/>
      <c r="GK83" s="179"/>
      <c r="GL83" s="179"/>
      <c r="GM83" s="179"/>
      <c r="GN83" s="179"/>
      <c r="GO83" s="179"/>
      <c r="GP83" s="179"/>
      <c r="GQ83" s="179"/>
      <c r="GR83" s="179"/>
      <c r="GS83" s="179"/>
      <c r="GT83" s="179"/>
      <c r="GU83" s="179"/>
      <c r="GV83" s="179"/>
      <c r="GW83" s="179"/>
      <c r="GX83" s="179"/>
      <c r="GY83" s="179"/>
      <c r="GZ83" s="179"/>
      <c r="HA83" s="179"/>
      <c r="HB83" s="179"/>
      <c r="HC83" s="179"/>
      <c r="HD83" s="179"/>
      <c r="HE83" s="179"/>
      <c r="HF83" s="179"/>
      <c r="HG83" s="179"/>
      <c r="HH83" s="179"/>
      <c r="HI83" s="179"/>
      <c r="HJ83" s="179"/>
      <c r="HK83" s="179"/>
      <c r="HL83" s="179"/>
      <c r="HM83" s="179"/>
      <c r="HN83" s="179"/>
      <c r="HO83" s="179"/>
      <c r="HP83" s="179"/>
      <c r="HQ83" s="179"/>
      <c r="HR83" s="179"/>
      <c r="HS83" s="179"/>
      <c r="HT83" s="179"/>
      <c r="HU83" s="179"/>
      <c r="HV83" s="179"/>
      <c r="HW83" s="179"/>
      <c r="HX83" s="179"/>
      <c r="HY83" s="179"/>
      <c r="HZ83" s="179"/>
      <c r="IA83" s="179"/>
      <c r="IB83" s="179"/>
      <c r="IC83" s="179"/>
      <c r="ID83" s="179"/>
      <c r="IE83" s="179"/>
      <c r="IF83" s="179"/>
      <c r="IG83" s="179"/>
      <c r="IH83" s="179"/>
      <c r="II83" s="179"/>
      <c r="IJ83" s="179"/>
      <c r="IK83" s="179"/>
      <c r="IL83" s="179"/>
      <c r="IM83" s="179"/>
      <c r="IN83" s="179"/>
      <c r="IO83" s="179"/>
      <c r="IP83" s="179"/>
      <c r="IQ83" s="179"/>
      <c r="IR83" s="179"/>
      <c r="IS83" s="179"/>
    </row>
    <row r="84" spans="1:253" s="73" customFormat="1">
      <c r="A84" s="193" t="s">
        <v>601</v>
      </c>
      <c r="B84" s="194">
        <f>0.02*9100*13*1.302*1.25</f>
        <v>3850.665</v>
      </c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0"/>
      <c r="DI84" s="230"/>
      <c r="DJ84" s="230"/>
      <c r="DK84" s="230"/>
      <c r="DL84" s="230"/>
      <c r="DM84" s="230"/>
      <c r="DN84" s="230"/>
      <c r="DO84" s="230"/>
      <c r="DP84" s="230"/>
      <c r="DQ84" s="230"/>
      <c r="DR84" s="230"/>
      <c r="DS84" s="230"/>
      <c r="DT84" s="230"/>
      <c r="DU84" s="230"/>
      <c r="DV84" s="230"/>
      <c r="DW84" s="230"/>
      <c r="DX84" s="230"/>
      <c r="DY84" s="230"/>
      <c r="DZ84" s="230"/>
      <c r="EA84" s="230"/>
      <c r="EB84" s="230"/>
      <c r="EC84" s="230"/>
      <c r="ED84" s="230"/>
      <c r="EE84" s="230"/>
      <c r="EF84" s="230"/>
      <c r="EG84" s="230"/>
      <c r="EH84" s="230"/>
      <c r="EI84" s="230"/>
      <c r="EJ84" s="230"/>
      <c r="EK84" s="230"/>
      <c r="EL84" s="230"/>
      <c r="EM84" s="230"/>
      <c r="EN84" s="230"/>
      <c r="EO84" s="230"/>
      <c r="EP84" s="230"/>
      <c r="EQ84" s="230"/>
      <c r="ER84" s="230"/>
      <c r="ES84" s="230"/>
      <c r="ET84" s="230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0"/>
      <c r="FF84" s="230"/>
      <c r="FG84" s="230"/>
      <c r="FH84" s="230"/>
      <c r="FI84" s="230"/>
      <c r="FJ84" s="230"/>
      <c r="FK84" s="230"/>
      <c r="FL84" s="230"/>
      <c r="FM84" s="230"/>
      <c r="FN84" s="230"/>
      <c r="FO84" s="230"/>
      <c r="FP84" s="230"/>
      <c r="FQ84" s="230"/>
      <c r="FR84" s="230"/>
      <c r="FS84" s="230"/>
      <c r="FT84" s="230"/>
      <c r="FU84" s="230"/>
      <c r="FV84" s="230"/>
      <c r="FW84" s="230"/>
      <c r="FX84" s="230"/>
      <c r="FY84" s="230"/>
      <c r="FZ84" s="230"/>
      <c r="GA84" s="230"/>
      <c r="GB84" s="230"/>
      <c r="GC84" s="230"/>
      <c r="GD84" s="230"/>
      <c r="GE84" s="230"/>
      <c r="GF84" s="230"/>
      <c r="GG84" s="230"/>
      <c r="GH84" s="230"/>
      <c r="GI84" s="230"/>
      <c r="GJ84" s="230"/>
      <c r="GK84" s="230"/>
      <c r="GL84" s="230"/>
      <c r="GM84" s="230"/>
      <c r="GN84" s="230"/>
      <c r="GO84" s="230"/>
      <c r="GP84" s="230"/>
      <c r="GQ84" s="230"/>
      <c r="GR84" s="230"/>
      <c r="GS84" s="230"/>
      <c r="GT84" s="230"/>
      <c r="GU84" s="230"/>
      <c r="GV84" s="230"/>
      <c r="GW84" s="230"/>
      <c r="GX84" s="230"/>
      <c r="GY84" s="230"/>
      <c r="GZ84" s="230"/>
      <c r="HA84" s="230"/>
      <c r="HB84" s="230"/>
      <c r="HC84" s="230"/>
      <c r="HD84" s="230"/>
      <c r="HE84" s="230"/>
      <c r="HF84" s="230"/>
      <c r="HG84" s="230"/>
      <c r="HH84" s="230"/>
      <c r="HI84" s="230"/>
      <c r="HJ84" s="230"/>
      <c r="HK84" s="230"/>
      <c r="HL84" s="230"/>
      <c r="HM84" s="230"/>
      <c r="HN84" s="230"/>
      <c r="HO84" s="230"/>
      <c r="HP84" s="230"/>
      <c r="HQ84" s="230"/>
      <c r="HR84" s="230"/>
      <c r="HS84" s="230"/>
      <c r="HT84" s="230"/>
      <c r="HU84" s="230"/>
      <c r="HV84" s="230"/>
      <c r="HW84" s="230"/>
      <c r="HX84" s="230"/>
      <c r="HY84" s="230"/>
      <c r="HZ84" s="230"/>
      <c r="IA84" s="230"/>
      <c r="IB84" s="230"/>
      <c r="IC84" s="230"/>
      <c r="ID84" s="230"/>
      <c r="IE84" s="230"/>
      <c r="IF84" s="230"/>
      <c r="IG84" s="230"/>
      <c r="IH84" s="230"/>
      <c r="II84" s="230"/>
      <c r="IJ84" s="230"/>
      <c r="IK84" s="230"/>
      <c r="IL84" s="230"/>
      <c r="IM84" s="230"/>
      <c r="IN84" s="230"/>
      <c r="IO84" s="230"/>
      <c r="IP84" s="230"/>
      <c r="IQ84" s="230"/>
      <c r="IR84" s="230"/>
      <c r="IS84" s="230"/>
    </row>
    <row r="85" spans="1:253">
      <c r="A85" s="181" t="s">
        <v>602</v>
      </c>
      <c r="B85" s="194">
        <f>B63</f>
        <v>275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N85" s="179"/>
      <c r="DO85" s="179"/>
      <c r="DP85" s="179"/>
      <c r="DQ85" s="179"/>
      <c r="DR85" s="179"/>
      <c r="DS85" s="179"/>
      <c r="DT85" s="179"/>
      <c r="DU85" s="179"/>
      <c r="DV85" s="179"/>
      <c r="DW85" s="179"/>
      <c r="DX85" s="179"/>
      <c r="DY85" s="179"/>
      <c r="DZ85" s="179"/>
      <c r="EA85" s="179"/>
      <c r="EB85" s="179"/>
      <c r="EC85" s="179"/>
      <c r="ED85" s="179"/>
      <c r="EE85" s="179"/>
      <c r="EF85" s="179"/>
      <c r="EG85" s="179"/>
      <c r="EH85" s="179"/>
      <c r="EI85" s="179"/>
      <c r="EJ85" s="179"/>
      <c r="EK85" s="179"/>
      <c r="EL85" s="179"/>
      <c r="EM85" s="179"/>
      <c r="EN85" s="179"/>
      <c r="EO85" s="179"/>
      <c r="EP85" s="179"/>
      <c r="EQ85" s="179"/>
      <c r="ER85" s="179"/>
      <c r="ES85" s="179"/>
      <c r="ET85" s="179"/>
      <c r="EU85" s="179"/>
      <c r="EV85" s="179"/>
      <c r="EW85" s="179"/>
      <c r="EX85" s="179"/>
      <c r="EY85" s="179"/>
      <c r="EZ85" s="179"/>
      <c r="FA85" s="179"/>
      <c r="FB85" s="179"/>
      <c r="FC85" s="179"/>
      <c r="FD85" s="179"/>
      <c r="FE85" s="179"/>
      <c r="FF85" s="179"/>
      <c r="FG85" s="179"/>
      <c r="FH85" s="179"/>
      <c r="FI85" s="179"/>
      <c r="FJ85" s="179"/>
      <c r="FK85" s="179"/>
      <c r="FL85" s="179"/>
      <c r="FM85" s="179"/>
      <c r="FN85" s="179"/>
      <c r="FO85" s="179"/>
      <c r="FP85" s="179"/>
      <c r="FQ85" s="179"/>
      <c r="FR85" s="179"/>
      <c r="FS85" s="179"/>
      <c r="FT85" s="179"/>
      <c r="FU85" s="179"/>
      <c r="FV85" s="179"/>
      <c r="FW85" s="179"/>
      <c r="FX85" s="179"/>
      <c r="FY85" s="179"/>
      <c r="FZ85" s="179"/>
      <c r="GA85" s="179"/>
      <c r="GB85" s="179"/>
      <c r="GC85" s="179"/>
      <c r="GD85" s="179"/>
      <c r="GE85" s="179"/>
      <c r="GF85" s="179"/>
      <c r="GG85" s="179"/>
      <c r="GH85" s="179"/>
      <c r="GI85" s="179"/>
      <c r="GJ85" s="179"/>
      <c r="GK85" s="179"/>
      <c r="GL85" s="179"/>
      <c r="GM85" s="179"/>
      <c r="GN85" s="179"/>
      <c r="GO85" s="179"/>
      <c r="GP85" s="179"/>
      <c r="GQ85" s="179"/>
      <c r="GR85" s="179"/>
      <c r="GS85" s="179"/>
      <c r="GT85" s="179"/>
      <c r="GU85" s="179"/>
      <c r="GV85" s="179"/>
      <c r="GW85" s="179"/>
      <c r="GX85" s="179"/>
      <c r="GY85" s="179"/>
      <c r="GZ85" s="179"/>
      <c r="HA85" s="179"/>
      <c r="HB85" s="179"/>
      <c r="HC85" s="179"/>
      <c r="HD85" s="179"/>
      <c r="HE85" s="179"/>
      <c r="HF85" s="179"/>
      <c r="HG85" s="179"/>
      <c r="HH85" s="179"/>
      <c r="HI85" s="179"/>
      <c r="HJ85" s="179"/>
      <c r="HK85" s="179"/>
      <c r="HL85" s="179"/>
      <c r="HM85" s="179"/>
      <c r="HN85" s="179"/>
      <c r="HO85" s="179"/>
      <c r="HP85" s="179"/>
      <c r="HQ85" s="179"/>
      <c r="HR85" s="179"/>
      <c r="HS85" s="179"/>
      <c r="HT85" s="179"/>
      <c r="HU85" s="179"/>
      <c r="HV85" s="179"/>
      <c r="HW85" s="179"/>
      <c r="HX85" s="179"/>
      <c r="HY85" s="179"/>
      <c r="HZ85" s="179"/>
      <c r="IA85" s="179"/>
      <c r="IB85" s="179"/>
      <c r="IC85" s="179"/>
      <c r="ID85" s="179"/>
      <c r="IE85" s="179"/>
      <c r="IF85" s="179"/>
      <c r="IG85" s="179"/>
      <c r="IH85" s="179"/>
      <c r="II85" s="179"/>
      <c r="IJ85" s="179"/>
      <c r="IK85" s="179"/>
      <c r="IL85" s="179"/>
      <c r="IM85" s="179"/>
      <c r="IN85" s="179"/>
      <c r="IO85" s="179"/>
      <c r="IP85" s="179"/>
      <c r="IQ85" s="179"/>
      <c r="IR85" s="179"/>
      <c r="IS85" s="179"/>
    </row>
    <row r="86" spans="1:253">
      <c r="A86" s="181" t="s">
        <v>603</v>
      </c>
      <c r="B86" s="194">
        <f>B85*130*1.302*1.25</f>
        <v>58183.125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K86" s="179"/>
      <c r="DL86" s="179"/>
      <c r="DM86" s="179"/>
      <c r="DN86" s="179"/>
      <c r="DO86" s="179"/>
      <c r="DP86" s="179"/>
      <c r="DQ86" s="179"/>
      <c r="DR86" s="179"/>
      <c r="DS86" s="179"/>
      <c r="DT86" s="179"/>
      <c r="DU86" s="179"/>
      <c r="DV86" s="179"/>
      <c r="DW86" s="179"/>
      <c r="DX86" s="179"/>
      <c r="DY86" s="179"/>
      <c r="DZ86" s="179"/>
      <c r="EA86" s="179"/>
      <c r="EB86" s="179"/>
      <c r="EC86" s="179"/>
      <c r="ED86" s="179"/>
      <c r="EE86" s="179"/>
      <c r="EF86" s="179"/>
      <c r="EG86" s="179"/>
      <c r="EH86" s="179"/>
      <c r="EI86" s="179"/>
      <c r="EJ86" s="179"/>
      <c r="EK86" s="179"/>
      <c r="EL86" s="179"/>
      <c r="EM86" s="179"/>
      <c r="EN86" s="179"/>
      <c r="EO86" s="179"/>
      <c r="EP86" s="179"/>
      <c r="EQ86" s="179"/>
      <c r="ER86" s="179"/>
      <c r="ES86" s="179"/>
      <c r="ET86" s="179"/>
      <c r="EU86" s="179"/>
      <c r="EV86" s="179"/>
      <c r="EW86" s="179"/>
      <c r="EX86" s="179"/>
      <c r="EY86" s="179"/>
      <c r="EZ86" s="179"/>
      <c r="FA86" s="179"/>
      <c r="FB86" s="179"/>
      <c r="FC86" s="179"/>
      <c r="FD86" s="179"/>
      <c r="FE86" s="179"/>
      <c r="FF86" s="179"/>
      <c r="FG86" s="179"/>
      <c r="FH86" s="179"/>
      <c r="FI86" s="179"/>
      <c r="FJ86" s="179"/>
      <c r="FK86" s="179"/>
      <c r="FL86" s="179"/>
      <c r="FM86" s="179"/>
      <c r="FN86" s="179"/>
      <c r="FO86" s="179"/>
      <c r="FP86" s="179"/>
      <c r="FQ86" s="179"/>
      <c r="FR86" s="179"/>
      <c r="FS86" s="179"/>
      <c r="FT86" s="179"/>
      <c r="FU86" s="179"/>
      <c r="FV86" s="179"/>
      <c r="FW86" s="179"/>
      <c r="FX86" s="179"/>
      <c r="FY86" s="179"/>
      <c r="FZ86" s="179"/>
      <c r="GA86" s="179"/>
      <c r="GB86" s="179"/>
      <c r="GC86" s="179"/>
      <c r="GD86" s="179"/>
      <c r="GE86" s="179"/>
      <c r="GF86" s="179"/>
      <c r="GG86" s="179"/>
      <c r="GH86" s="179"/>
      <c r="GI86" s="179"/>
      <c r="GJ86" s="179"/>
      <c r="GK86" s="179"/>
      <c r="GL86" s="179"/>
      <c r="GM86" s="179"/>
      <c r="GN86" s="179"/>
      <c r="GO86" s="179"/>
      <c r="GP86" s="179"/>
      <c r="GQ86" s="179"/>
      <c r="GR86" s="179"/>
      <c r="GS86" s="179"/>
      <c r="GT86" s="179"/>
      <c r="GU86" s="179"/>
      <c r="GV86" s="179"/>
      <c r="GW86" s="179"/>
      <c r="GX86" s="179"/>
      <c r="GY86" s="179"/>
      <c r="GZ86" s="179"/>
      <c r="HA86" s="179"/>
      <c r="HB86" s="179"/>
      <c r="HC86" s="179"/>
      <c r="HD86" s="179"/>
      <c r="HE86" s="179"/>
      <c r="HF86" s="179"/>
      <c r="HG86" s="179"/>
      <c r="HH86" s="179"/>
      <c r="HI86" s="179"/>
      <c r="HJ86" s="179"/>
      <c r="HK86" s="179"/>
      <c r="HL86" s="179"/>
      <c r="HM86" s="179"/>
      <c r="HN86" s="179"/>
      <c r="HO86" s="179"/>
      <c r="HP86" s="179"/>
      <c r="HQ86" s="179"/>
      <c r="HR86" s="179"/>
      <c r="HS86" s="179"/>
      <c r="HT86" s="179"/>
      <c r="HU86" s="179"/>
      <c r="HV86" s="179"/>
      <c r="HW86" s="179"/>
      <c r="HX86" s="179"/>
      <c r="HY86" s="179"/>
      <c r="HZ86" s="179"/>
      <c r="IA86" s="179"/>
      <c r="IB86" s="179"/>
      <c r="IC86" s="179"/>
      <c r="ID86" s="179"/>
      <c r="IE86" s="179"/>
      <c r="IF86" s="179"/>
      <c r="IG86" s="179"/>
      <c r="IH86" s="179"/>
      <c r="II86" s="179"/>
      <c r="IJ86" s="179"/>
      <c r="IK86" s="179"/>
      <c r="IL86" s="179"/>
      <c r="IM86" s="179"/>
      <c r="IN86" s="179"/>
      <c r="IO86" s="179"/>
      <c r="IP86" s="179"/>
      <c r="IQ86" s="179"/>
      <c r="IR86" s="179"/>
      <c r="IS86" s="179"/>
    </row>
    <row r="87" spans="1:253">
      <c r="A87" s="181" t="s">
        <v>1620</v>
      </c>
      <c r="B87" s="194">
        <f>B71</f>
        <v>4857.72</v>
      </c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179"/>
      <c r="DA87" s="179"/>
      <c r="DB87" s="179"/>
      <c r="DC87" s="179"/>
      <c r="DD87" s="179"/>
      <c r="DE87" s="179"/>
      <c r="DF87" s="179"/>
      <c r="DG87" s="179"/>
      <c r="DH87" s="179"/>
      <c r="DI87" s="179"/>
      <c r="DJ87" s="179"/>
      <c r="DK87" s="179"/>
      <c r="DL87" s="179"/>
      <c r="DM87" s="179"/>
      <c r="DN87" s="179"/>
      <c r="DO87" s="179"/>
      <c r="DP87" s="179"/>
      <c r="DQ87" s="179"/>
      <c r="DR87" s="179"/>
      <c r="DS87" s="179"/>
      <c r="DT87" s="179"/>
      <c r="DU87" s="179"/>
      <c r="DV87" s="179"/>
      <c r="DW87" s="179"/>
      <c r="DX87" s="179"/>
      <c r="DY87" s="179"/>
      <c r="DZ87" s="179"/>
      <c r="EA87" s="179"/>
      <c r="EB87" s="179"/>
      <c r="EC87" s="179"/>
      <c r="ED87" s="179"/>
      <c r="EE87" s="179"/>
      <c r="EF87" s="179"/>
      <c r="EG87" s="179"/>
      <c r="EH87" s="179"/>
      <c r="EI87" s="179"/>
      <c r="EJ87" s="179"/>
      <c r="EK87" s="179"/>
      <c r="EL87" s="179"/>
      <c r="EM87" s="179"/>
      <c r="EN87" s="179"/>
      <c r="EO87" s="179"/>
      <c r="EP87" s="179"/>
      <c r="EQ87" s="179"/>
      <c r="ER87" s="179"/>
      <c r="ES87" s="179"/>
      <c r="ET87" s="179"/>
      <c r="EU87" s="179"/>
      <c r="EV87" s="179"/>
      <c r="EW87" s="179"/>
      <c r="EX87" s="179"/>
      <c r="EY87" s="179"/>
      <c r="EZ87" s="179"/>
      <c r="FA87" s="179"/>
      <c r="FB87" s="179"/>
      <c r="FC87" s="179"/>
      <c r="FD87" s="179"/>
      <c r="FE87" s="179"/>
      <c r="FF87" s="179"/>
      <c r="FG87" s="179"/>
      <c r="FH87" s="179"/>
      <c r="FI87" s="179"/>
      <c r="FJ87" s="179"/>
      <c r="FK87" s="179"/>
      <c r="FL87" s="179"/>
      <c r="FM87" s="179"/>
      <c r="FN87" s="179"/>
      <c r="FO87" s="179"/>
      <c r="FP87" s="179"/>
      <c r="FQ87" s="179"/>
      <c r="FR87" s="179"/>
      <c r="FS87" s="179"/>
      <c r="FT87" s="179"/>
      <c r="FU87" s="179"/>
      <c r="FV87" s="179"/>
      <c r="FW87" s="179"/>
      <c r="FX87" s="179"/>
      <c r="FY87" s="179"/>
      <c r="FZ87" s="179"/>
      <c r="GA87" s="179"/>
      <c r="GB87" s="179"/>
      <c r="GC87" s="179"/>
      <c r="GD87" s="179"/>
      <c r="GE87" s="179"/>
      <c r="GF87" s="179"/>
      <c r="GG87" s="179"/>
      <c r="GH87" s="179"/>
      <c r="GI87" s="179"/>
      <c r="GJ87" s="179"/>
      <c r="GK87" s="179"/>
      <c r="GL87" s="179"/>
      <c r="GM87" s="179"/>
      <c r="GN87" s="179"/>
      <c r="GO87" s="179"/>
      <c r="GP87" s="179"/>
      <c r="GQ87" s="179"/>
      <c r="GR87" s="179"/>
      <c r="GS87" s="179"/>
      <c r="GT87" s="179"/>
      <c r="GU87" s="179"/>
      <c r="GV87" s="179"/>
      <c r="GW87" s="179"/>
      <c r="GX87" s="179"/>
      <c r="GY87" s="179"/>
      <c r="GZ87" s="179"/>
      <c r="HA87" s="179"/>
      <c r="HB87" s="179"/>
      <c r="HC87" s="179"/>
      <c r="HD87" s="179"/>
      <c r="HE87" s="179"/>
      <c r="HF87" s="179"/>
      <c r="HG87" s="179"/>
      <c r="HH87" s="179"/>
      <c r="HI87" s="179"/>
      <c r="HJ87" s="179"/>
      <c r="HK87" s="179"/>
      <c r="HL87" s="179"/>
      <c r="HM87" s="179"/>
      <c r="HN87" s="179"/>
      <c r="HO87" s="179"/>
      <c r="HP87" s="179"/>
      <c r="HQ87" s="179"/>
      <c r="HR87" s="179"/>
      <c r="HS87" s="179"/>
      <c r="HT87" s="179"/>
      <c r="HU87" s="179"/>
      <c r="HV87" s="179"/>
      <c r="HW87" s="179"/>
      <c r="HX87" s="179"/>
      <c r="HY87" s="179"/>
      <c r="HZ87" s="179"/>
      <c r="IA87" s="179"/>
      <c r="IB87" s="179"/>
      <c r="IC87" s="179"/>
      <c r="ID87" s="179"/>
      <c r="IE87" s="179"/>
      <c r="IF87" s="179"/>
      <c r="IG87" s="179"/>
      <c r="IH87" s="179"/>
      <c r="II87" s="179"/>
      <c r="IJ87" s="179"/>
      <c r="IK87" s="179"/>
      <c r="IL87" s="179"/>
      <c r="IM87" s="179"/>
      <c r="IN87" s="179"/>
      <c r="IO87" s="179"/>
      <c r="IP87" s="179"/>
      <c r="IQ87" s="179"/>
      <c r="IR87" s="179"/>
      <c r="IS87" s="179"/>
    </row>
    <row r="88" spans="1:253" s="73" customFormat="1">
      <c r="A88" s="193" t="s">
        <v>1611</v>
      </c>
      <c r="B88" s="194">
        <f>15252.63*1.25</f>
        <v>19065.787499999999</v>
      </c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230"/>
      <c r="CT88" s="230"/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0"/>
      <c r="DX88" s="230"/>
      <c r="DY88" s="230"/>
      <c r="DZ88" s="230"/>
      <c r="EA88" s="230"/>
      <c r="EB88" s="230"/>
      <c r="EC88" s="230"/>
      <c r="ED88" s="230"/>
      <c r="EE88" s="230"/>
      <c r="EF88" s="230"/>
      <c r="EG88" s="230"/>
      <c r="EH88" s="230"/>
      <c r="EI88" s="230"/>
      <c r="EJ88" s="230"/>
      <c r="EK88" s="230"/>
      <c r="EL88" s="230"/>
      <c r="EM88" s="230"/>
      <c r="EN88" s="230"/>
      <c r="EO88" s="230"/>
      <c r="EP88" s="230"/>
      <c r="EQ88" s="230"/>
      <c r="ER88" s="230"/>
      <c r="ES88" s="230"/>
      <c r="ET88" s="230"/>
      <c r="EU88" s="230"/>
      <c r="EV88" s="230"/>
      <c r="EW88" s="230"/>
      <c r="EX88" s="230"/>
      <c r="EY88" s="230"/>
      <c r="EZ88" s="230"/>
      <c r="FA88" s="230"/>
      <c r="FB88" s="230"/>
      <c r="FC88" s="230"/>
      <c r="FD88" s="230"/>
      <c r="FE88" s="230"/>
      <c r="FF88" s="230"/>
      <c r="FG88" s="230"/>
      <c r="FH88" s="230"/>
      <c r="FI88" s="230"/>
      <c r="FJ88" s="230"/>
      <c r="FK88" s="230"/>
      <c r="FL88" s="230"/>
      <c r="FM88" s="230"/>
      <c r="FN88" s="230"/>
      <c r="FO88" s="230"/>
      <c r="FP88" s="230"/>
      <c r="FQ88" s="230"/>
      <c r="FR88" s="230"/>
      <c r="FS88" s="230"/>
      <c r="FT88" s="230"/>
      <c r="FU88" s="230"/>
      <c r="FV88" s="230"/>
      <c r="FW88" s="230"/>
      <c r="FX88" s="230"/>
      <c r="FY88" s="230"/>
      <c r="FZ88" s="230"/>
      <c r="GA88" s="230"/>
      <c r="GB88" s="230"/>
      <c r="GC88" s="230"/>
      <c r="GD88" s="230"/>
      <c r="GE88" s="230"/>
      <c r="GF88" s="230"/>
      <c r="GG88" s="230"/>
      <c r="GH88" s="230"/>
      <c r="GI88" s="230"/>
      <c r="GJ88" s="230"/>
      <c r="GK88" s="230"/>
      <c r="GL88" s="230"/>
      <c r="GM88" s="230"/>
      <c r="GN88" s="230"/>
      <c r="GO88" s="230"/>
      <c r="GP88" s="230"/>
      <c r="GQ88" s="230"/>
      <c r="GR88" s="230"/>
      <c r="GS88" s="230"/>
      <c r="GT88" s="230"/>
      <c r="GU88" s="230"/>
      <c r="GV88" s="230"/>
      <c r="GW88" s="230"/>
      <c r="GX88" s="230"/>
      <c r="GY88" s="230"/>
      <c r="GZ88" s="230"/>
      <c r="HA88" s="230"/>
      <c r="HB88" s="230"/>
      <c r="HC88" s="230"/>
      <c r="HD88" s="230"/>
      <c r="HE88" s="230"/>
      <c r="HF88" s="230"/>
      <c r="HG88" s="230"/>
      <c r="HH88" s="230"/>
      <c r="HI88" s="230"/>
      <c r="HJ88" s="230"/>
      <c r="HK88" s="230"/>
      <c r="HL88" s="230"/>
      <c r="HM88" s="230"/>
      <c r="HN88" s="230"/>
      <c r="HO88" s="230"/>
      <c r="HP88" s="230"/>
      <c r="HQ88" s="230"/>
      <c r="HR88" s="230"/>
      <c r="HS88" s="230"/>
      <c r="HT88" s="230"/>
      <c r="HU88" s="230"/>
      <c r="HV88" s="230"/>
      <c r="HW88" s="230"/>
      <c r="HX88" s="230"/>
      <c r="HY88" s="230"/>
      <c r="HZ88" s="230"/>
      <c r="IA88" s="230"/>
      <c r="IB88" s="230"/>
      <c r="IC88" s="230"/>
      <c r="ID88" s="230"/>
      <c r="IE88" s="230"/>
      <c r="IF88" s="230"/>
      <c r="IG88" s="230"/>
      <c r="IH88" s="230"/>
      <c r="II88" s="230"/>
      <c r="IJ88" s="230"/>
      <c r="IK88" s="230"/>
      <c r="IL88" s="230"/>
      <c r="IM88" s="230"/>
      <c r="IN88" s="230"/>
      <c r="IO88" s="230"/>
      <c r="IP88" s="230"/>
      <c r="IQ88" s="230"/>
      <c r="IR88" s="230"/>
      <c r="IS88" s="230"/>
    </row>
    <row r="89" spans="1:253">
      <c r="A89" s="181" t="s">
        <v>724</v>
      </c>
      <c r="B89" s="194">
        <f>7381.51*1.25</f>
        <v>9226.8875000000007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T89" s="179"/>
      <c r="CU89" s="179"/>
      <c r="CV89" s="179"/>
      <c r="CW89" s="179"/>
      <c r="CX89" s="179"/>
      <c r="CY89" s="179"/>
      <c r="CZ89" s="179"/>
      <c r="DA89" s="179"/>
      <c r="DB89" s="179"/>
      <c r="DC89" s="179"/>
      <c r="DD89" s="179"/>
      <c r="DE89" s="179"/>
      <c r="DF89" s="179"/>
      <c r="DG89" s="179"/>
      <c r="DH89" s="179"/>
      <c r="DI89" s="179"/>
      <c r="DJ89" s="179"/>
      <c r="DK89" s="179"/>
      <c r="DL89" s="179"/>
      <c r="DM89" s="179"/>
      <c r="DN89" s="179"/>
      <c r="DO89" s="179"/>
      <c r="DP89" s="179"/>
      <c r="DQ89" s="179"/>
      <c r="DR89" s="179"/>
      <c r="DS89" s="179"/>
      <c r="DT89" s="179"/>
      <c r="DU89" s="179"/>
      <c r="DV89" s="179"/>
      <c r="DW89" s="179"/>
      <c r="DX89" s="179"/>
      <c r="DY89" s="179"/>
      <c r="DZ89" s="179"/>
      <c r="EA89" s="179"/>
      <c r="EB89" s="179"/>
      <c r="EC89" s="179"/>
      <c r="ED89" s="179"/>
      <c r="EE89" s="179"/>
      <c r="EF89" s="179"/>
      <c r="EG89" s="179"/>
      <c r="EH89" s="179"/>
      <c r="EI89" s="179"/>
      <c r="EJ89" s="179"/>
      <c r="EK89" s="179"/>
      <c r="EL89" s="179"/>
      <c r="EM89" s="179"/>
      <c r="EN89" s="179"/>
      <c r="EO89" s="179"/>
      <c r="EP89" s="179"/>
      <c r="EQ89" s="179"/>
      <c r="ER89" s="179"/>
      <c r="ES89" s="179"/>
      <c r="ET89" s="179"/>
      <c r="EU89" s="179"/>
      <c r="EV89" s="179"/>
      <c r="EW89" s="179"/>
      <c r="EX89" s="179"/>
      <c r="EY89" s="179"/>
      <c r="EZ89" s="179"/>
      <c r="FA89" s="179"/>
      <c r="FB89" s="179"/>
      <c r="FC89" s="179"/>
      <c r="FD89" s="179"/>
      <c r="FE89" s="179"/>
      <c r="FF89" s="179"/>
      <c r="FG89" s="179"/>
      <c r="FH89" s="179"/>
      <c r="FI89" s="179"/>
      <c r="FJ89" s="179"/>
      <c r="FK89" s="179"/>
      <c r="FL89" s="179"/>
      <c r="FM89" s="179"/>
      <c r="FN89" s="179"/>
      <c r="FO89" s="179"/>
      <c r="FP89" s="179"/>
      <c r="FQ89" s="179"/>
      <c r="FR89" s="179"/>
      <c r="FS89" s="179"/>
      <c r="FT89" s="179"/>
      <c r="FU89" s="179"/>
      <c r="FV89" s="179"/>
      <c r="FW89" s="179"/>
      <c r="FX89" s="179"/>
      <c r="FY89" s="179"/>
      <c r="FZ89" s="179"/>
      <c r="GA89" s="179"/>
      <c r="GB89" s="179"/>
      <c r="GC89" s="179"/>
      <c r="GD89" s="179"/>
      <c r="GE89" s="179"/>
      <c r="GF89" s="179"/>
      <c r="GG89" s="179"/>
      <c r="GH89" s="179"/>
      <c r="GI89" s="179"/>
      <c r="GJ89" s="179"/>
      <c r="GK89" s="179"/>
      <c r="GL89" s="179"/>
      <c r="GM89" s="179"/>
      <c r="GN89" s="179"/>
      <c r="GO89" s="179"/>
      <c r="GP89" s="179"/>
      <c r="GQ89" s="179"/>
      <c r="GR89" s="179"/>
      <c r="GS89" s="179"/>
      <c r="GT89" s="179"/>
      <c r="GU89" s="179"/>
      <c r="GV89" s="179"/>
      <c r="GW89" s="179"/>
      <c r="GX89" s="179"/>
      <c r="GY89" s="179"/>
      <c r="GZ89" s="179"/>
      <c r="HA89" s="179"/>
      <c r="HB89" s="179"/>
      <c r="HC89" s="179"/>
      <c r="HD89" s="179"/>
      <c r="HE89" s="179"/>
      <c r="HF89" s="179"/>
      <c r="HG89" s="179"/>
      <c r="HH89" s="179"/>
      <c r="HI89" s="179"/>
      <c r="HJ89" s="179"/>
      <c r="HK89" s="179"/>
      <c r="HL89" s="179"/>
      <c r="HM89" s="179"/>
      <c r="HN89" s="179"/>
      <c r="HO89" s="179"/>
      <c r="HP89" s="179"/>
      <c r="HQ89" s="179"/>
      <c r="HR89" s="179"/>
      <c r="HS89" s="179"/>
      <c r="HT89" s="179"/>
      <c r="HU89" s="179"/>
      <c r="HV89" s="179"/>
      <c r="HW89" s="179"/>
      <c r="HX89" s="179"/>
      <c r="HY89" s="179"/>
      <c r="HZ89" s="179"/>
      <c r="IA89" s="179"/>
      <c r="IB89" s="179"/>
      <c r="IC89" s="179"/>
      <c r="ID89" s="179"/>
      <c r="IE89" s="179"/>
      <c r="IF89" s="179"/>
      <c r="IG89" s="179"/>
      <c r="IH89" s="179"/>
      <c r="II89" s="179"/>
      <c r="IJ89" s="179"/>
      <c r="IK89" s="179"/>
      <c r="IL89" s="179"/>
      <c r="IM89" s="179"/>
      <c r="IN89" s="179"/>
      <c r="IO89" s="179"/>
      <c r="IP89" s="179"/>
      <c r="IQ89" s="179"/>
      <c r="IR89" s="179"/>
      <c r="IS89" s="179"/>
    </row>
    <row r="90" spans="1:253">
      <c r="A90" s="181" t="s">
        <v>1617</v>
      </c>
      <c r="B90" s="194">
        <v>68768.89</v>
      </c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79"/>
      <c r="DE90" s="179"/>
      <c r="DF90" s="179"/>
      <c r="DG90" s="179"/>
      <c r="DH90" s="179"/>
      <c r="DI90" s="179"/>
      <c r="DJ90" s="179"/>
      <c r="DK90" s="179"/>
      <c r="DL90" s="179"/>
      <c r="DM90" s="179"/>
      <c r="DN90" s="179"/>
      <c r="DO90" s="179"/>
      <c r="DP90" s="179"/>
      <c r="DQ90" s="179"/>
      <c r="DR90" s="179"/>
      <c r="DS90" s="179"/>
      <c r="DT90" s="179"/>
      <c r="DU90" s="179"/>
      <c r="DV90" s="179"/>
      <c r="DW90" s="179"/>
      <c r="DX90" s="179"/>
      <c r="DY90" s="179"/>
      <c r="DZ90" s="179"/>
      <c r="EA90" s="179"/>
      <c r="EB90" s="179"/>
      <c r="EC90" s="179"/>
      <c r="ED90" s="179"/>
      <c r="EE90" s="179"/>
      <c r="EF90" s="179"/>
      <c r="EG90" s="179"/>
      <c r="EH90" s="179"/>
      <c r="EI90" s="179"/>
      <c r="EJ90" s="179"/>
      <c r="EK90" s="179"/>
      <c r="EL90" s="179"/>
      <c r="EM90" s="179"/>
      <c r="EN90" s="179"/>
      <c r="EO90" s="179"/>
      <c r="EP90" s="179"/>
      <c r="EQ90" s="179"/>
      <c r="ER90" s="179"/>
      <c r="ES90" s="179"/>
      <c r="ET90" s="179"/>
      <c r="EU90" s="179"/>
      <c r="EV90" s="179"/>
      <c r="EW90" s="179"/>
      <c r="EX90" s="179"/>
      <c r="EY90" s="179"/>
      <c r="EZ90" s="179"/>
      <c r="FA90" s="179"/>
      <c r="FB90" s="179"/>
      <c r="FC90" s="179"/>
      <c r="FD90" s="179"/>
      <c r="FE90" s="179"/>
      <c r="FF90" s="179"/>
      <c r="FG90" s="179"/>
      <c r="FH90" s="179"/>
      <c r="FI90" s="179"/>
      <c r="FJ90" s="179"/>
      <c r="FK90" s="179"/>
      <c r="FL90" s="179"/>
      <c r="FM90" s="179"/>
      <c r="FN90" s="179"/>
      <c r="FO90" s="179"/>
      <c r="FP90" s="179"/>
      <c r="FQ90" s="179"/>
      <c r="FR90" s="179"/>
      <c r="FS90" s="179"/>
      <c r="FT90" s="179"/>
      <c r="FU90" s="179"/>
      <c r="FV90" s="179"/>
      <c r="FW90" s="179"/>
      <c r="FX90" s="179"/>
      <c r="FY90" s="179"/>
      <c r="FZ90" s="179"/>
      <c r="GA90" s="179"/>
      <c r="GB90" s="179"/>
      <c r="GC90" s="179"/>
      <c r="GD90" s="179"/>
      <c r="GE90" s="179"/>
      <c r="GF90" s="179"/>
      <c r="GG90" s="179"/>
      <c r="GH90" s="179"/>
      <c r="GI90" s="179"/>
      <c r="GJ90" s="179"/>
      <c r="GK90" s="179"/>
      <c r="GL90" s="179"/>
      <c r="GM90" s="179"/>
      <c r="GN90" s="179"/>
      <c r="GO90" s="179"/>
      <c r="GP90" s="179"/>
      <c r="GQ90" s="179"/>
      <c r="GR90" s="179"/>
      <c r="GS90" s="179"/>
      <c r="GT90" s="179"/>
      <c r="GU90" s="179"/>
      <c r="GV90" s="179"/>
      <c r="GW90" s="179"/>
      <c r="GX90" s="179"/>
      <c r="GY90" s="179"/>
      <c r="GZ90" s="179"/>
      <c r="HA90" s="179"/>
      <c r="HB90" s="179"/>
      <c r="HC90" s="179"/>
      <c r="HD90" s="179"/>
      <c r="HE90" s="179"/>
      <c r="HF90" s="179"/>
      <c r="HG90" s="179"/>
      <c r="HH90" s="179"/>
      <c r="HI90" s="179"/>
      <c r="HJ90" s="179"/>
      <c r="HK90" s="179"/>
      <c r="HL90" s="179"/>
      <c r="HM90" s="179"/>
      <c r="HN90" s="179"/>
      <c r="HO90" s="179"/>
      <c r="HP90" s="179"/>
      <c r="HQ90" s="179"/>
      <c r="HR90" s="179"/>
      <c r="HS90" s="179"/>
      <c r="HT90" s="179"/>
      <c r="HU90" s="179"/>
      <c r="HV90" s="179"/>
      <c r="HW90" s="179"/>
      <c r="HX90" s="179"/>
      <c r="HY90" s="179"/>
      <c r="HZ90" s="179"/>
      <c r="IA90" s="179"/>
      <c r="IB90" s="179"/>
      <c r="IC90" s="179"/>
      <c r="ID90" s="179"/>
      <c r="IE90" s="179"/>
      <c r="IF90" s="179"/>
      <c r="IG90" s="179"/>
      <c r="IH90" s="179"/>
      <c r="II90" s="179"/>
      <c r="IJ90" s="179"/>
      <c r="IK90" s="179"/>
      <c r="IL90" s="179"/>
      <c r="IM90" s="179"/>
      <c r="IN90" s="179"/>
      <c r="IO90" s="179"/>
      <c r="IP90" s="179"/>
      <c r="IQ90" s="179"/>
      <c r="IR90" s="179"/>
      <c r="IS90" s="179"/>
    </row>
    <row r="91" spans="1:253">
      <c r="A91" s="181" t="s">
        <v>1613</v>
      </c>
      <c r="B91" s="194">
        <f>B74-B76-B90</f>
        <v>-130147.42761900213</v>
      </c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179"/>
      <c r="EL91" s="179"/>
      <c r="EM91" s="179"/>
      <c r="EN91" s="179"/>
      <c r="EO91" s="179"/>
      <c r="EP91" s="179"/>
      <c r="EQ91" s="179"/>
      <c r="ER91" s="179"/>
      <c r="ES91" s="179"/>
      <c r="ET91" s="179"/>
      <c r="EU91" s="179"/>
      <c r="EV91" s="179"/>
      <c r="EW91" s="179"/>
      <c r="EX91" s="179"/>
      <c r="EY91" s="179"/>
      <c r="EZ91" s="179"/>
      <c r="FA91" s="179"/>
      <c r="FB91" s="179"/>
      <c r="FC91" s="179"/>
      <c r="FD91" s="179"/>
      <c r="FE91" s="179"/>
      <c r="FF91" s="179"/>
      <c r="FG91" s="179"/>
      <c r="FH91" s="179"/>
      <c r="FI91" s="179"/>
      <c r="FJ91" s="179"/>
      <c r="FK91" s="179"/>
      <c r="FL91" s="179"/>
      <c r="FM91" s="179"/>
      <c r="FN91" s="179"/>
      <c r="FO91" s="179"/>
      <c r="FP91" s="179"/>
      <c r="FQ91" s="179"/>
      <c r="FR91" s="179"/>
      <c r="FS91" s="179"/>
      <c r="FT91" s="179"/>
      <c r="FU91" s="179"/>
      <c r="FV91" s="179"/>
      <c r="FW91" s="179"/>
      <c r="FX91" s="179"/>
      <c r="FY91" s="179"/>
      <c r="FZ91" s="179"/>
      <c r="GA91" s="179"/>
      <c r="GB91" s="179"/>
      <c r="GC91" s="179"/>
      <c r="GD91" s="179"/>
      <c r="GE91" s="179"/>
      <c r="GF91" s="179"/>
      <c r="GG91" s="179"/>
      <c r="GH91" s="179"/>
      <c r="GI91" s="179"/>
      <c r="GJ91" s="179"/>
      <c r="GK91" s="179"/>
      <c r="GL91" s="179"/>
      <c r="GM91" s="179"/>
      <c r="GN91" s="179"/>
      <c r="GO91" s="179"/>
      <c r="GP91" s="179"/>
      <c r="GQ91" s="179"/>
      <c r="GR91" s="179"/>
      <c r="GS91" s="179"/>
      <c r="GT91" s="179"/>
      <c r="GU91" s="179"/>
      <c r="GV91" s="179"/>
      <c r="GW91" s="179"/>
      <c r="GX91" s="179"/>
      <c r="GY91" s="179"/>
      <c r="GZ91" s="179"/>
      <c r="HA91" s="179"/>
      <c r="HB91" s="179"/>
      <c r="HC91" s="179"/>
      <c r="HD91" s="179"/>
      <c r="HE91" s="179"/>
      <c r="HF91" s="179"/>
      <c r="HG91" s="179"/>
      <c r="HH91" s="179"/>
      <c r="HI91" s="179"/>
      <c r="HJ91" s="179"/>
      <c r="HK91" s="179"/>
      <c r="HL91" s="179"/>
      <c r="HM91" s="179"/>
      <c r="HN91" s="179"/>
      <c r="HO91" s="179"/>
      <c r="HP91" s="179"/>
      <c r="HQ91" s="179"/>
      <c r="HR91" s="179"/>
      <c r="HS91" s="179"/>
      <c r="HT91" s="179"/>
      <c r="HU91" s="179"/>
      <c r="HV91" s="179"/>
      <c r="HW91" s="179"/>
      <c r="HX91" s="179"/>
      <c r="HY91" s="179"/>
      <c r="HZ91" s="179"/>
      <c r="IA91" s="179"/>
      <c r="IB91" s="179"/>
      <c r="IC91" s="179"/>
      <c r="ID91" s="179"/>
      <c r="IE91" s="179"/>
      <c r="IF91" s="179"/>
      <c r="IG91" s="179"/>
      <c r="IH91" s="179"/>
      <c r="II91" s="179"/>
      <c r="IJ91" s="179"/>
      <c r="IK91" s="179"/>
      <c r="IL91" s="179"/>
      <c r="IM91" s="179"/>
      <c r="IN91" s="179"/>
      <c r="IO91" s="179"/>
      <c r="IP91" s="179"/>
      <c r="IQ91" s="179"/>
      <c r="IR91" s="179"/>
      <c r="IS91" s="179"/>
    </row>
    <row r="92" spans="1:253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9"/>
      <c r="CZ92" s="179"/>
      <c r="DA92" s="179"/>
      <c r="DB92" s="179"/>
      <c r="DC92" s="179"/>
      <c r="DD92" s="179"/>
      <c r="DE92" s="179"/>
      <c r="DF92" s="179"/>
      <c r="DG92" s="179"/>
      <c r="DH92" s="179"/>
      <c r="DI92" s="179"/>
      <c r="DJ92" s="179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/>
      <c r="EF92" s="179"/>
      <c r="EG92" s="179"/>
      <c r="EH92" s="179"/>
      <c r="EI92" s="179"/>
      <c r="EJ92" s="179"/>
      <c r="EK92" s="179"/>
      <c r="EL92" s="179"/>
      <c r="EM92" s="179"/>
      <c r="EN92" s="179"/>
      <c r="EO92" s="179"/>
      <c r="EP92" s="179"/>
      <c r="EQ92" s="179"/>
      <c r="ER92" s="179"/>
      <c r="ES92" s="179"/>
      <c r="ET92" s="179"/>
      <c r="EU92" s="179"/>
      <c r="EV92" s="179"/>
      <c r="EW92" s="179"/>
      <c r="EX92" s="179"/>
      <c r="EY92" s="179"/>
      <c r="EZ92" s="179"/>
      <c r="FA92" s="179"/>
      <c r="FB92" s="179"/>
      <c r="FC92" s="179"/>
      <c r="FD92" s="179"/>
      <c r="FE92" s="179"/>
      <c r="FF92" s="179"/>
      <c r="FG92" s="179"/>
      <c r="FH92" s="179"/>
      <c r="FI92" s="179"/>
      <c r="FJ92" s="179"/>
      <c r="FK92" s="179"/>
      <c r="FL92" s="179"/>
      <c r="FM92" s="179"/>
      <c r="FN92" s="179"/>
      <c r="FO92" s="179"/>
      <c r="FP92" s="179"/>
      <c r="FQ92" s="179"/>
      <c r="FR92" s="179"/>
      <c r="FS92" s="179"/>
      <c r="FT92" s="179"/>
      <c r="FU92" s="179"/>
      <c r="FV92" s="179"/>
      <c r="FW92" s="179"/>
      <c r="FX92" s="179"/>
      <c r="FY92" s="179"/>
      <c r="FZ92" s="179"/>
      <c r="GA92" s="179"/>
      <c r="GB92" s="179"/>
      <c r="GC92" s="179"/>
      <c r="GD92" s="179"/>
      <c r="GE92" s="179"/>
      <c r="GF92" s="179"/>
      <c r="GG92" s="179"/>
      <c r="GH92" s="179"/>
      <c r="GI92" s="179"/>
      <c r="GJ92" s="179"/>
      <c r="GK92" s="179"/>
      <c r="GL92" s="179"/>
      <c r="GM92" s="179"/>
      <c r="GN92" s="179"/>
      <c r="GO92" s="179"/>
      <c r="GP92" s="179"/>
      <c r="GQ92" s="179"/>
      <c r="GR92" s="179"/>
      <c r="GS92" s="179"/>
      <c r="GT92" s="179"/>
      <c r="GU92" s="179"/>
      <c r="GV92" s="179"/>
      <c r="GW92" s="179"/>
      <c r="GX92" s="179"/>
      <c r="GY92" s="179"/>
      <c r="GZ92" s="179"/>
      <c r="HA92" s="179"/>
      <c r="HB92" s="179"/>
      <c r="HC92" s="179"/>
      <c r="HD92" s="179"/>
      <c r="HE92" s="179"/>
      <c r="HF92" s="179"/>
      <c r="HG92" s="179"/>
      <c r="HH92" s="179"/>
      <c r="HI92" s="179"/>
      <c r="HJ92" s="179"/>
      <c r="HK92" s="179"/>
      <c r="HL92" s="179"/>
      <c r="HM92" s="179"/>
      <c r="HN92" s="179"/>
      <c r="HO92" s="179"/>
      <c r="HP92" s="179"/>
      <c r="HQ92" s="179"/>
      <c r="HR92" s="179"/>
      <c r="HS92" s="179"/>
      <c r="HT92" s="179"/>
      <c r="HU92" s="179"/>
      <c r="HV92" s="179"/>
      <c r="HW92" s="179"/>
      <c r="HX92" s="179"/>
      <c r="HY92" s="179"/>
      <c r="HZ92" s="179"/>
      <c r="IA92" s="179"/>
      <c r="IB92" s="179"/>
      <c r="IC92" s="179"/>
      <c r="ID92" s="179"/>
      <c r="IE92" s="179"/>
      <c r="IF92" s="179"/>
      <c r="IG92" s="179"/>
      <c r="IH92" s="179"/>
      <c r="II92" s="179"/>
      <c r="IJ92" s="179"/>
      <c r="IK92" s="179"/>
      <c r="IL92" s="179"/>
      <c r="IM92" s="179"/>
      <c r="IN92" s="179"/>
      <c r="IO92" s="179"/>
      <c r="IP92" s="179"/>
      <c r="IQ92" s="179"/>
      <c r="IR92" s="179"/>
      <c r="IS92" s="179"/>
    </row>
    <row r="93" spans="1:253">
      <c r="A93" s="448" t="s">
        <v>605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79"/>
      <c r="DJ93" s="179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179"/>
      <c r="EL93" s="179"/>
      <c r="EM93" s="179"/>
      <c r="EN93" s="179"/>
      <c r="EO93" s="179"/>
      <c r="EP93" s="179"/>
      <c r="EQ93" s="179"/>
      <c r="ER93" s="179"/>
      <c r="ES93" s="179"/>
      <c r="ET93" s="179"/>
      <c r="EU93" s="179"/>
      <c r="EV93" s="179"/>
      <c r="EW93" s="179"/>
      <c r="EX93" s="179"/>
      <c r="EY93" s="179"/>
      <c r="EZ93" s="179"/>
      <c r="FA93" s="179"/>
      <c r="FB93" s="179"/>
      <c r="FC93" s="179"/>
      <c r="FD93" s="179"/>
      <c r="FE93" s="179"/>
      <c r="FF93" s="179"/>
      <c r="FG93" s="179"/>
      <c r="FH93" s="179"/>
      <c r="FI93" s="179"/>
      <c r="FJ93" s="179"/>
      <c r="FK93" s="179"/>
      <c r="FL93" s="179"/>
      <c r="FM93" s="179"/>
      <c r="FN93" s="179"/>
      <c r="FO93" s="179"/>
      <c r="FP93" s="179"/>
      <c r="FQ93" s="179"/>
      <c r="FR93" s="179"/>
      <c r="FS93" s="179"/>
      <c r="FT93" s="179"/>
      <c r="FU93" s="179"/>
      <c r="FV93" s="179"/>
      <c r="FW93" s="179"/>
      <c r="FX93" s="179"/>
      <c r="FY93" s="179"/>
      <c r="FZ93" s="179"/>
      <c r="GA93" s="179"/>
      <c r="GB93" s="179"/>
      <c r="GC93" s="179"/>
      <c r="GD93" s="179"/>
      <c r="GE93" s="179"/>
      <c r="GF93" s="179"/>
      <c r="GG93" s="179"/>
      <c r="GH93" s="179"/>
      <c r="GI93" s="179"/>
      <c r="GJ93" s="179"/>
      <c r="GK93" s="179"/>
      <c r="GL93" s="179"/>
      <c r="GM93" s="179"/>
      <c r="GN93" s="179"/>
      <c r="GO93" s="179"/>
      <c r="GP93" s="179"/>
      <c r="GQ93" s="179"/>
      <c r="GR93" s="179"/>
      <c r="GS93" s="179"/>
      <c r="GT93" s="179"/>
      <c r="GU93" s="179"/>
      <c r="GV93" s="179"/>
      <c r="GW93" s="179"/>
      <c r="GX93" s="179"/>
      <c r="GY93" s="179"/>
      <c r="GZ93" s="179"/>
      <c r="HA93" s="179"/>
      <c r="HB93" s="179"/>
      <c r="HC93" s="179"/>
      <c r="HD93" s="179"/>
      <c r="HE93" s="179"/>
      <c r="HF93" s="179"/>
      <c r="HG93" s="179"/>
      <c r="HH93" s="179"/>
      <c r="HI93" s="179"/>
      <c r="HJ93" s="179"/>
      <c r="HK93" s="179"/>
      <c r="HL93" s="179"/>
      <c r="HM93" s="179"/>
      <c r="HN93" s="179"/>
      <c r="HO93" s="179"/>
      <c r="HP93" s="179"/>
      <c r="HQ93" s="179"/>
      <c r="HR93" s="179"/>
      <c r="HS93" s="179"/>
      <c r="HT93" s="179"/>
      <c r="HU93" s="179"/>
      <c r="HV93" s="179"/>
      <c r="HW93" s="179"/>
      <c r="HX93" s="179"/>
      <c r="HY93" s="179"/>
      <c r="HZ93" s="179"/>
      <c r="IA93" s="179"/>
      <c r="IB93" s="179"/>
      <c r="IC93" s="179"/>
      <c r="ID93" s="179"/>
      <c r="IE93" s="179"/>
      <c r="IF93" s="179"/>
      <c r="IG93" s="179"/>
      <c r="IH93" s="179"/>
      <c r="II93" s="179"/>
      <c r="IJ93" s="179"/>
      <c r="IK93" s="179"/>
      <c r="IL93" s="179"/>
      <c r="IM93" s="179"/>
      <c r="IN93" s="179"/>
      <c r="IO93" s="179"/>
      <c r="IP93" s="179"/>
      <c r="IQ93" s="179"/>
      <c r="IR93" s="179"/>
      <c r="IS93" s="179"/>
    </row>
    <row r="95" spans="1:253">
      <c r="A95" s="321" t="s">
        <v>1612</v>
      </c>
      <c r="B95">
        <f>5.94*B66*12</f>
        <v>52519.103999999992</v>
      </c>
    </row>
    <row r="96" spans="1:253">
      <c r="B96" s="276">
        <f>B95+B76</f>
        <v>343390.53161900211</v>
      </c>
    </row>
    <row r="97" spans="2:2">
      <c r="B97">
        <f>B96/B76</f>
        <v>1.1805577963772782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90" fitToWidth="2" fitToHeight="2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8"/>
  <sheetViews>
    <sheetView topLeftCell="A35" workbookViewId="0">
      <selection activeCell="A37" sqref="A37:B64"/>
    </sheetView>
  </sheetViews>
  <sheetFormatPr defaultRowHeight="15"/>
  <cols>
    <col min="1" max="1" width="82.85546875" customWidth="1"/>
    <col min="2" max="2" width="13.5703125" customWidth="1"/>
  </cols>
  <sheetData>
    <row r="1" spans="1:2" ht="15.75">
      <c r="A1" s="701" t="s">
        <v>364</v>
      </c>
      <c r="B1" s="701"/>
    </row>
    <row r="2" spans="1:2" ht="15.75">
      <c r="A2" s="702" t="s">
        <v>1578</v>
      </c>
      <c r="B2" s="702"/>
    </row>
    <row r="3" spans="1:2" s="55" customFormat="1" ht="15.75">
      <c r="A3" s="702" t="s">
        <v>1624</v>
      </c>
      <c r="B3" s="702"/>
    </row>
    <row r="4" spans="1:2" s="55" customFormat="1" ht="15.75">
      <c r="A4" s="96"/>
      <c r="B4" s="86"/>
    </row>
    <row r="5" spans="1:2" ht="30.75" thickBot="1">
      <c r="A5" s="508" t="s">
        <v>229</v>
      </c>
      <c r="B5" s="509" t="s">
        <v>523</v>
      </c>
    </row>
    <row r="6" spans="1:2" ht="15.75" thickBot="1">
      <c r="A6" s="510" t="s">
        <v>57</v>
      </c>
      <c r="B6" s="137"/>
    </row>
    <row r="7" spans="1:2" s="90" customFormat="1">
      <c r="A7" s="161" t="s">
        <v>1746</v>
      </c>
      <c r="B7" s="163">
        <v>4</v>
      </c>
    </row>
    <row r="8" spans="1:2">
      <c r="A8" s="511" t="s">
        <v>66</v>
      </c>
      <c r="B8" s="137"/>
    </row>
    <row r="9" spans="1:2" s="73" customFormat="1" ht="16.5" customHeight="1">
      <c r="A9" s="160" t="s">
        <v>371</v>
      </c>
      <c r="B9" s="137">
        <v>1</v>
      </c>
    </row>
    <row r="10" spans="1:2">
      <c r="A10" s="512" t="s">
        <v>590</v>
      </c>
      <c r="B10" s="137"/>
    </row>
    <row r="11" spans="1:2" s="90" customFormat="1">
      <c r="A11" s="161" t="s">
        <v>1739</v>
      </c>
      <c r="B11" s="137">
        <v>1</v>
      </c>
    </row>
    <row r="12" spans="1:2" s="90" customFormat="1">
      <c r="A12" s="507" t="s">
        <v>1741</v>
      </c>
      <c r="B12" s="137">
        <v>2</v>
      </c>
    </row>
    <row r="13" spans="1:2" s="90" customFormat="1">
      <c r="A13" s="161" t="s">
        <v>1742</v>
      </c>
      <c r="B13" s="137">
        <v>4</v>
      </c>
    </row>
    <row r="14" spans="1:2" s="90" customFormat="1">
      <c r="A14" s="161" t="s">
        <v>1744</v>
      </c>
      <c r="B14" s="137">
        <v>1</v>
      </c>
    </row>
    <row r="15" spans="1:2" s="90" customFormat="1" ht="15" customHeight="1">
      <c r="A15" s="159" t="s">
        <v>1747</v>
      </c>
      <c r="B15" s="137">
        <v>3</v>
      </c>
    </row>
    <row r="16" spans="1:2" s="90" customFormat="1" ht="33.75" customHeight="1">
      <c r="A16" s="495" t="s">
        <v>1751</v>
      </c>
      <c r="B16" s="137">
        <v>8</v>
      </c>
    </row>
    <row r="17" spans="1:2" s="90" customFormat="1" ht="29.25" customHeight="1">
      <c r="A17" s="159" t="s">
        <v>1752</v>
      </c>
      <c r="B17" s="137">
        <v>2</v>
      </c>
    </row>
    <row r="18" spans="1:2" s="90" customFormat="1" ht="32.25" customHeight="1">
      <c r="A18" s="160" t="s">
        <v>1753</v>
      </c>
      <c r="B18" s="137">
        <v>2</v>
      </c>
    </row>
    <row r="19" spans="1:2" s="90" customFormat="1" ht="32.25" customHeight="1">
      <c r="A19" s="159" t="s">
        <v>1755</v>
      </c>
      <c r="B19" s="137">
        <v>2</v>
      </c>
    </row>
    <row r="20" spans="1:2" s="90" customFormat="1" ht="20.25" customHeight="1">
      <c r="A20" s="159" t="s">
        <v>1756</v>
      </c>
      <c r="B20" s="137">
        <v>12</v>
      </c>
    </row>
    <row r="21" spans="1:2" s="90" customFormat="1" ht="29.25" customHeight="1">
      <c r="A21" s="159" t="s">
        <v>1757</v>
      </c>
      <c r="B21" s="137">
        <v>4</v>
      </c>
    </row>
    <row r="22" spans="1:2" s="90" customFormat="1">
      <c r="A22" s="495" t="s">
        <v>1758</v>
      </c>
      <c r="B22" s="137">
        <v>1</v>
      </c>
    </row>
    <row r="23" spans="1:2" s="90" customFormat="1" ht="18.75" customHeight="1">
      <c r="A23" s="159" t="s">
        <v>1760</v>
      </c>
      <c r="B23" s="137">
        <v>1</v>
      </c>
    </row>
    <row r="24" spans="1:2" s="90" customFormat="1" ht="21.75" customHeight="1">
      <c r="A24" s="159" t="s">
        <v>1761</v>
      </c>
      <c r="B24" s="137">
        <v>4</v>
      </c>
    </row>
    <row r="25" spans="1:2" ht="15" customHeight="1">
      <c r="A25" s="512" t="s">
        <v>102</v>
      </c>
      <c r="B25" s="137"/>
    </row>
    <row r="26" spans="1:2" s="90" customFormat="1" ht="28.5">
      <c r="A26" s="161" t="s">
        <v>1738</v>
      </c>
      <c r="B26" s="137">
        <v>1.5</v>
      </c>
    </row>
    <row r="27" spans="1:2" s="90" customFormat="1">
      <c r="A27" s="159" t="s">
        <v>1740</v>
      </c>
      <c r="B27" s="137">
        <v>1</v>
      </c>
    </row>
    <row r="28" spans="1:2" s="90" customFormat="1">
      <c r="A28" s="159" t="s">
        <v>1743</v>
      </c>
      <c r="B28" s="137">
        <v>1</v>
      </c>
    </row>
    <row r="29" spans="1:2" s="90" customFormat="1">
      <c r="A29" s="161" t="s">
        <v>1745</v>
      </c>
      <c r="B29" s="137">
        <v>0</v>
      </c>
    </row>
    <row r="30" spans="1:2" s="90" customFormat="1">
      <c r="A30" s="159" t="s">
        <v>1748</v>
      </c>
      <c r="B30" s="137">
        <v>1</v>
      </c>
    </row>
    <row r="31" spans="1:2" s="90" customFormat="1">
      <c r="A31" s="159" t="s">
        <v>1749</v>
      </c>
      <c r="B31" s="137">
        <v>1.5</v>
      </c>
    </row>
    <row r="32" spans="1:2" s="90" customFormat="1">
      <c r="A32" s="159" t="s">
        <v>1750</v>
      </c>
      <c r="B32" s="137">
        <v>1</v>
      </c>
    </row>
    <row r="33" spans="1:253" s="90" customFormat="1">
      <c r="A33" s="159" t="s">
        <v>1754</v>
      </c>
      <c r="B33" s="137">
        <v>1</v>
      </c>
    </row>
    <row r="34" spans="1:253" s="90" customFormat="1" ht="29.25" thickBot="1">
      <c r="A34" s="159" t="s">
        <v>1759</v>
      </c>
      <c r="B34" s="137">
        <v>1.5</v>
      </c>
    </row>
    <row r="35" spans="1:253" ht="15.75" thickBot="1">
      <c r="A35" s="513" t="s">
        <v>587</v>
      </c>
      <c r="B35" s="137">
        <f>SUM(B6:B34)</f>
        <v>61.5</v>
      </c>
    </row>
    <row r="36" spans="1:253">
      <c r="A36" s="78"/>
      <c r="B36" s="75"/>
    </row>
    <row r="37" spans="1:253" s="179" customFormat="1" ht="43.5" customHeight="1">
      <c r="A37" s="447" t="s">
        <v>1626</v>
      </c>
      <c r="IS37"/>
    </row>
    <row r="38" spans="1:253">
      <c r="A38" s="180" t="s">
        <v>650</v>
      </c>
      <c r="B38" s="196">
        <v>738.6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  <c r="GV38" s="179"/>
      <c r="GW38" s="179"/>
      <c r="GX38" s="179"/>
      <c r="GY38" s="179"/>
      <c r="GZ38" s="179"/>
      <c r="HA38" s="179"/>
      <c r="HB38" s="179"/>
      <c r="HC38" s="179"/>
      <c r="HD38" s="179"/>
      <c r="HE38" s="179"/>
      <c r="HF38" s="179"/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79"/>
      <c r="IN38" s="179"/>
      <c r="IO38" s="179"/>
      <c r="IP38" s="179"/>
      <c r="IQ38" s="179"/>
      <c r="IR38" s="179"/>
    </row>
    <row r="39" spans="1:253">
      <c r="A39" s="180" t="s">
        <v>594</v>
      </c>
      <c r="B39" s="196">
        <v>30.24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79"/>
      <c r="GN39" s="179"/>
      <c r="GO39" s="179"/>
      <c r="GP39" s="179"/>
      <c r="GQ39" s="179"/>
      <c r="GR39" s="179"/>
      <c r="GS39" s="179"/>
      <c r="GT39" s="179"/>
      <c r="GU39" s="179"/>
      <c r="GV39" s="179"/>
      <c r="GW39" s="179"/>
      <c r="GX39" s="179"/>
      <c r="GY39" s="179"/>
      <c r="GZ39" s="179"/>
      <c r="HA39" s="179"/>
      <c r="HB39" s="179"/>
      <c r="HC39" s="179"/>
      <c r="HD39" s="179"/>
      <c r="HE39" s="179"/>
      <c r="HF39" s="179"/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  <c r="ID39" s="179"/>
      <c r="IE39" s="179"/>
      <c r="IF39" s="179"/>
      <c r="IG39" s="179"/>
      <c r="IH39" s="179"/>
      <c r="II39" s="179"/>
      <c r="IJ39" s="179"/>
      <c r="IK39" s="179"/>
      <c r="IL39" s="179"/>
      <c r="IM39" s="179"/>
      <c r="IN39" s="179"/>
      <c r="IO39" s="179"/>
      <c r="IP39" s="179"/>
      <c r="IQ39" s="179"/>
      <c r="IR39" s="179"/>
    </row>
    <row r="40" spans="1:253" s="73" customFormat="1">
      <c r="A40" s="193" t="s">
        <v>711</v>
      </c>
      <c r="B40" s="193">
        <v>12717.31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0"/>
      <c r="GN40" s="230"/>
      <c r="GO40" s="230"/>
      <c r="GP40" s="230"/>
      <c r="GQ40" s="230"/>
      <c r="GR40" s="230"/>
      <c r="GS40" s="230"/>
      <c r="GT40" s="230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  <c r="IO40" s="230"/>
      <c r="IP40" s="230"/>
      <c r="IQ40" s="230"/>
      <c r="IR40" s="230"/>
    </row>
    <row r="41" spans="1:253" s="73" customFormat="1">
      <c r="A41" s="193" t="s">
        <v>1607</v>
      </c>
      <c r="B41" s="193">
        <v>268023.24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  <c r="IO41" s="230"/>
      <c r="IP41" s="230"/>
      <c r="IQ41" s="230"/>
      <c r="IR41" s="230"/>
    </row>
    <row r="42" spans="1:253" s="73" customFormat="1">
      <c r="A42" s="193" t="s">
        <v>1625</v>
      </c>
      <c r="B42" s="193">
        <f>1702.02+765</f>
        <v>2467.02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0"/>
      <c r="GN42" s="230"/>
      <c r="GO42" s="230"/>
      <c r="GP42" s="230"/>
      <c r="GQ42" s="230"/>
      <c r="GR42" s="230"/>
      <c r="GS42" s="230"/>
      <c r="GT42" s="230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0"/>
      <c r="IB42" s="230"/>
      <c r="IC42" s="230"/>
      <c r="ID42" s="230"/>
      <c r="IE42" s="230"/>
      <c r="IF42" s="230"/>
      <c r="IG42" s="230"/>
      <c r="IH42" s="230"/>
      <c r="II42" s="230"/>
      <c r="IJ42" s="230"/>
      <c r="IK42" s="230"/>
      <c r="IL42" s="230"/>
      <c r="IM42" s="230"/>
      <c r="IN42" s="230"/>
      <c r="IO42" s="230"/>
      <c r="IP42" s="230"/>
      <c r="IQ42" s="230"/>
      <c r="IR42" s="230"/>
    </row>
    <row r="43" spans="1:253" s="73" customFormat="1">
      <c r="A43" s="193" t="s">
        <v>1619</v>
      </c>
      <c r="B43" s="193">
        <v>4623.63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230"/>
      <c r="FL43" s="230"/>
      <c r="FM43" s="230"/>
      <c r="FN43" s="230"/>
      <c r="FO43" s="230"/>
      <c r="FP43" s="230"/>
      <c r="FQ43" s="230"/>
      <c r="FR43" s="230"/>
      <c r="FS43" s="230"/>
      <c r="FT43" s="230"/>
      <c r="FU43" s="230"/>
      <c r="FV43" s="230"/>
      <c r="FW43" s="230"/>
      <c r="FX43" s="230"/>
      <c r="FY43" s="230"/>
      <c r="FZ43" s="230"/>
      <c r="GA43" s="230"/>
      <c r="GB43" s="230"/>
      <c r="GC43" s="230"/>
      <c r="GD43" s="230"/>
      <c r="GE43" s="230"/>
      <c r="GF43" s="230"/>
      <c r="GG43" s="230"/>
      <c r="GH43" s="230"/>
      <c r="GI43" s="230"/>
      <c r="GJ43" s="230"/>
      <c r="GK43" s="230"/>
      <c r="GL43" s="230"/>
      <c r="GM43" s="230"/>
      <c r="GN43" s="230"/>
      <c r="GO43" s="230"/>
      <c r="GP43" s="230"/>
      <c r="GQ43" s="230"/>
      <c r="GR43" s="230"/>
      <c r="GS43" s="230"/>
      <c r="GT43" s="230"/>
      <c r="GU43" s="230"/>
      <c r="GV43" s="230"/>
      <c r="GW43" s="230"/>
      <c r="GX43" s="230"/>
      <c r="GY43" s="230"/>
      <c r="GZ43" s="230"/>
      <c r="HA43" s="230"/>
      <c r="HB43" s="230"/>
      <c r="HC43" s="230"/>
      <c r="HD43" s="230"/>
      <c r="HE43" s="230"/>
      <c r="HF43" s="230"/>
      <c r="HG43" s="230"/>
      <c r="HH43" s="230"/>
      <c r="HI43" s="230"/>
      <c r="HJ43" s="230"/>
      <c r="HK43" s="230"/>
      <c r="HL43" s="230"/>
      <c r="HM43" s="230"/>
      <c r="HN43" s="230"/>
      <c r="HO43" s="230"/>
      <c r="HP43" s="230"/>
      <c r="HQ43" s="230"/>
      <c r="HR43" s="230"/>
      <c r="HS43" s="230"/>
      <c r="HT43" s="230"/>
      <c r="HU43" s="230"/>
      <c r="HV43" s="230"/>
      <c r="HW43" s="230"/>
      <c r="HX43" s="230"/>
      <c r="HY43" s="230"/>
      <c r="HZ43" s="230"/>
      <c r="IA43" s="230"/>
      <c r="IB43" s="230"/>
      <c r="IC43" s="230"/>
      <c r="ID43" s="230"/>
      <c r="IE43" s="230"/>
      <c r="IF43" s="230"/>
      <c r="IG43" s="230"/>
      <c r="IH43" s="230"/>
      <c r="II43" s="230"/>
      <c r="IJ43" s="230"/>
      <c r="IK43" s="230"/>
      <c r="IL43" s="230"/>
      <c r="IM43" s="230"/>
      <c r="IN43" s="230"/>
      <c r="IO43" s="230"/>
      <c r="IP43" s="230"/>
      <c r="IQ43" s="230"/>
      <c r="IR43" s="230"/>
    </row>
    <row r="44" spans="1:253">
      <c r="A44" s="181" t="s">
        <v>1610</v>
      </c>
      <c r="B44" s="193">
        <f>B40+B41+B42-B45+B43-30000</f>
        <v>247779.89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79"/>
      <c r="GN44" s="179"/>
      <c r="GO44" s="179"/>
      <c r="GP44" s="179"/>
      <c r="GQ44" s="179"/>
      <c r="GR44" s="179"/>
      <c r="GS44" s="179"/>
      <c r="GT44" s="179"/>
      <c r="GU44" s="179"/>
      <c r="GV44" s="179"/>
      <c r="GW44" s="179"/>
      <c r="GX44" s="179"/>
      <c r="GY44" s="179"/>
      <c r="GZ44" s="179"/>
      <c r="HA44" s="179"/>
      <c r="HB44" s="179"/>
      <c r="HC44" s="179"/>
      <c r="HD44" s="179"/>
      <c r="HE44" s="179"/>
      <c r="HF44" s="179"/>
      <c r="HG44" s="179"/>
      <c r="HH44" s="179"/>
      <c r="HI44" s="179"/>
      <c r="HJ44" s="179"/>
      <c r="HK44" s="179"/>
      <c r="HL44" s="179"/>
      <c r="HM44" s="179"/>
      <c r="HN44" s="179"/>
      <c r="HO44" s="179"/>
      <c r="HP44" s="179"/>
      <c r="HQ44" s="179"/>
      <c r="HR44" s="179"/>
      <c r="HS44" s="179"/>
      <c r="HT44" s="179"/>
      <c r="HU44" s="179"/>
      <c r="HV44" s="179"/>
      <c r="HW44" s="179"/>
      <c r="HX44" s="179"/>
      <c r="HY44" s="179"/>
      <c r="HZ44" s="179"/>
      <c r="IA44" s="179"/>
      <c r="IB44" s="179"/>
      <c r="IC44" s="179"/>
      <c r="ID44" s="179"/>
      <c r="IE44" s="179"/>
      <c r="IF44" s="179"/>
      <c r="IG44" s="179"/>
      <c r="IH44" s="179"/>
      <c r="II44" s="179"/>
      <c r="IJ44" s="179"/>
      <c r="IK44" s="179"/>
      <c r="IL44" s="179"/>
      <c r="IM44" s="179"/>
      <c r="IN44" s="179"/>
      <c r="IO44" s="179"/>
      <c r="IP44" s="179"/>
      <c r="IQ44" s="179"/>
      <c r="IR44" s="179"/>
    </row>
    <row r="45" spans="1:253" s="73" customFormat="1">
      <c r="A45" s="193" t="s">
        <v>1609</v>
      </c>
      <c r="B45" s="193">
        <v>10051.31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230"/>
      <c r="GM45" s="230"/>
      <c r="GN45" s="230"/>
      <c r="GO45" s="230"/>
      <c r="GP45" s="230"/>
      <c r="GQ45" s="230"/>
      <c r="GR45" s="230"/>
      <c r="GS45" s="230"/>
      <c r="GT45" s="230"/>
      <c r="GU45" s="230"/>
      <c r="GV45" s="230"/>
      <c r="GW45" s="230"/>
      <c r="GX45" s="230"/>
      <c r="GY45" s="230"/>
      <c r="GZ45" s="230"/>
      <c r="HA45" s="230"/>
      <c r="HB45" s="230"/>
      <c r="HC45" s="230"/>
      <c r="HD45" s="230"/>
      <c r="HE45" s="230"/>
      <c r="HF45" s="230"/>
      <c r="HG45" s="230"/>
      <c r="HH45" s="230"/>
      <c r="HI45" s="230"/>
      <c r="HJ45" s="230"/>
      <c r="HK45" s="230"/>
      <c r="HL45" s="230"/>
      <c r="HM45" s="230"/>
      <c r="HN45" s="230"/>
      <c r="HO45" s="230"/>
      <c r="HP45" s="230"/>
      <c r="HQ45" s="230"/>
      <c r="HR45" s="230"/>
      <c r="HS45" s="230"/>
      <c r="HT45" s="230"/>
      <c r="HU45" s="230"/>
      <c r="HV45" s="230"/>
      <c r="HW45" s="230"/>
      <c r="HX45" s="230"/>
      <c r="HY45" s="230"/>
      <c r="HZ45" s="230"/>
      <c r="IA45" s="230"/>
      <c r="IB45" s="230"/>
      <c r="IC45" s="230"/>
      <c r="ID45" s="230"/>
      <c r="IE45" s="230"/>
      <c r="IF45" s="230"/>
      <c r="IG45" s="230"/>
      <c r="IH45" s="230"/>
      <c r="II45" s="230"/>
      <c r="IJ45" s="230"/>
      <c r="IK45" s="230"/>
      <c r="IL45" s="230"/>
      <c r="IM45" s="230"/>
      <c r="IN45" s="230"/>
      <c r="IO45" s="230"/>
      <c r="IP45" s="230"/>
      <c r="IQ45" s="230"/>
      <c r="IR45" s="230"/>
    </row>
    <row r="46" spans="1:253" s="73" customFormat="1" ht="22.5" customHeight="1">
      <c r="A46" s="234" t="s">
        <v>1604</v>
      </c>
      <c r="B46" s="196">
        <f>B44</f>
        <v>247779.89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  <c r="IQ46" s="230"/>
      <c r="IR46" s="230"/>
    </row>
    <row r="47" spans="1:253">
      <c r="A47" s="179"/>
      <c r="B47" s="197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179"/>
      <c r="IM47" s="179"/>
      <c r="IN47" s="179"/>
      <c r="IO47" s="179"/>
      <c r="IP47" s="179"/>
      <c r="IQ47" s="179"/>
      <c r="IR47" s="179"/>
    </row>
    <row r="48" spans="1:253">
      <c r="A48" s="180" t="s">
        <v>1606</v>
      </c>
      <c r="B48" s="514">
        <f>B50+B53+B55+B56+B58+B60+B61+B51+B59+B54+B52</f>
        <v>236677.39986999289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  <c r="GV48" s="179"/>
      <c r="GW48" s="179"/>
      <c r="GX48" s="179"/>
      <c r="GY48" s="179"/>
      <c r="GZ48" s="179"/>
      <c r="HA48" s="179"/>
      <c r="HB48" s="179"/>
      <c r="HC48" s="179"/>
      <c r="HD48" s="179"/>
      <c r="HE48" s="179"/>
      <c r="HF48" s="179"/>
      <c r="HG48" s="179"/>
      <c r="HH48" s="179"/>
      <c r="HI48" s="179"/>
      <c r="HJ48" s="179"/>
      <c r="HK48" s="179"/>
      <c r="HL48" s="179"/>
      <c r="HM48" s="179"/>
      <c r="HN48" s="179"/>
      <c r="HO48" s="179"/>
      <c r="HP48" s="179"/>
      <c r="HQ48" s="179"/>
      <c r="HR48" s="179"/>
      <c r="HS48" s="179"/>
      <c r="HT48" s="179"/>
      <c r="HU48" s="179"/>
      <c r="HV48" s="179"/>
      <c r="HW48" s="179"/>
      <c r="HX48" s="179"/>
      <c r="HY48" s="179"/>
      <c r="HZ48" s="179"/>
      <c r="IA48" s="179"/>
      <c r="IB48" s="179"/>
      <c r="IC48" s="179"/>
      <c r="ID48" s="179"/>
      <c r="IE48" s="179"/>
      <c r="IF48" s="179"/>
      <c r="IG48" s="179"/>
      <c r="IH48" s="179"/>
      <c r="II48" s="179"/>
      <c r="IJ48" s="179"/>
      <c r="IK48" s="179"/>
      <c r="IL48" s="179"/>
      <c r="IM48" s="179"/>
      <c r="IN48" s="179"/>
      <c r="IO48" s="179"/>
      <c r="IP48" s="179"/>
      <c r="IQ48" s="179"/>
      <c r="IR48" s="179"/>
    </row>
    <row r="49" spans="1:252">
      <c r="A49" s="181" t="s">
        <v>599</v>
      </c>
      <c r="B49" s="464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  <c r="IP49" s="179"/>
      <c r="IQ49" s="179"/>
      <c r="IR49" s="179"/>
    </row>
    <row r="50" spans="1:252" s="73" customFormat="1">
      <c r="A50" s="193" t="s">
        <v>521</v>
      </c>
      <c r="B50" s="195">
        <f>959300/45797.5*B38*1.3</f>
        <v>20112.466269992903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230"/>
      <c r="FG50" s="230"/>
      <c r="FH50" s="230"/>
      <c r="FI50" s="230"/>
      <c r="FJ50" s="230"/>
      <c r="FK50" s="230"/>
      <c r="FL50" s="230"/>
      <c r="FM50" s="230"/>
      <c r="FN50" s="230"/>
      <c r="FO50" s="230"/>
      <c r="FP50" s="230"/>
      <c r="FQ50" s="230"/>
      <c r="FR50" s="230"/>
      <c r="FS50" s="230"/>
      <c r="FT50" s="230"/>
      <c r="FU50" s="230"/>
      <c r="FV50" s="230"/>
      <c r="FW50" s="230"/>
      <c r="FX50" s="230"/>
      <c r="FY50" s="230"/>
      <c r="FZ50" s="230"/>
      <c r="GA50" s="230"/>
      <c r="GB50" s="230"/>
      <c r="GC50" s="230"/>
      <c r="GD50" s="230"/>
      <c r="GE50" s="230"/>
      <c r="GF50" s="230"/>
      <c r="GG50" s="230"/>
      <c r="GH50" s="230"/>
      <c r="GI50" s="230"/>
      <c r="GJ50" s="230"/>
      <c r="GK50" s="230"/>
      <c r="GL50" s="230"/>
      <c r="GM50" s="230"/>
      <c r="GN50" s="230"/>
      <c r="GO50" s="230"/>
      <c r="GP50" s="230"/>
      <c r="GQ50" s="230"/>
      <c r="GR50" s="230"/>
      <c r="GS50" s="230"/>
      <c r="GT50" s="230"/>
      <c r="GU50" s="230"/>
      <c r="GV50" s="230"/>
      <c r="GW50" s="230"/>
      <c r="GX50" s="230"/>
      <c r="GY50" s="230"/>
      <c r="GZ50" s="230"/>
      <c r="HA50" s="230"/>
      <c r="HB50" s="230"/>
      <c r="HC50" s="230"/>
      <c r="HD50" s="230"/>
      <c r="HE50" s="230"/>
      <c r="HF50" s="230"/>
      <c r="HG50" s="230"/>
      <c r="HH50" s="230"/>
      <c r="HI50" s="230"/>
      <c r="HJ50" s="230"/>
      <c r="HK50" s="230"/>
      <c r="HL50" s="230"/>
      <c r="HM50" s="230"/>
      <c r="HN50" s="230"/>
      <c r="HO50" s="230"/>
      <c r="HP50" s="230"/>
      <c r="HQ50" s="230"/>
      <c r="HR50" s="230"/>
      <c r="HS50" s="230"/>
      <c r="HT50" s="230"/>
      <c r="HU50" s="230"/>
      <c r="HV50" s="230"/>
      <c r="HW50" s="230"/>
      <c r="HX50" s="230"/>
      <c r="HY50" s="230"/>
      <c r="HZ50" s="230"/>
      <c r="IA50" s="230"/>
      <c r="IB50" s="230"/>
      <c r="IC50" s="230"/>
      <c r="ID50" s="230"/>
      <c r="IE50" s="230"/>
      <c r="IF50" s="230"/>
      <c r="IG50" s="230"/>
      <c r="IH50" s="230"/>
      <c r="II50" s="230"/>
      <c r="IJ50" s="230"/>
      <c r="IK50" s="230"/>
      <c r="IL50" s="230"/>
      <c r="IM50" s="230"/>
      <c r="IN50" s="230"/>
      <c r="IO50" s="230"/>
      <c r="IP50" s="230"/>
      <c r="IQ50" s="230"/>
      <c r="IR50" s="230"/>
    </row>
    <row r="51" spans="1:252" s="73" customFormat="1">
      <c r="A51" s="193" t="s">
        <v>1570</v>
      </c>
      <c r="B51" s="195">
        <f>120005.88*1.3</f>
        <v>156007.644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230"/>
      <c r="FG51" s="230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0"/>
      <c r="GE51" s="230"/>
      <c r="GF51" s="230"/>
      <c r="GG51" s="230"/>
      <c r="GH51" s="230"/>
      <c r="GI51" s="230"/>
      <c r="GJ51" s="230"/>
      <c r="GK51" s="230"/>
      <c r="GL51" s="230"/>
      <c r="GM51" s="230"/>
      <c r="GN51" s="230"/>
      <c r="GO51" s="230"/>
      <c r="GP51" s="230"/>
      <c r="GQ51" s="230"/>
      <c r="GR51" s="230"/>
      <c r="GS51" s="230"/>
      <c r="GT51" s="230"/>
      <c r="GU51" s="230"/>
      <c r="GV51" s="230"/>
      <c r="GW51" s="230"/>
      <c r="GX51" s="230"/>
      <c r="GY51" s="230"/>
      <c r="GZ51" s="230"/>
      <c r="HA51" s="230"/>
      <c r="HB51" s="230"/>
      <c r="HC51" s="230"/>
      <c r="HD51" s="230"/>
      <c r="HE51" s="230"/>
      <c r="HF51" s="230"/>
      <c r="HG51" s="230"/>
      <c r="HH51" s="230"/>
      <c r="HI51" s="230"/>
      <c r="HJ51" s="230"/>
      <c r="HK51" s="230"/>
      <c r="HL51" s="230"/>
      <c r="HM51" s="230"/>
      <c r="HN51" s="230"/>
      <c r="HO51" s="230"/>
      <c r="HP51" s="230"/>
      <c r="HQ51" s="230"/>
      <c r="HR51" s="230"/>
      <c r="HS51" s="230"/>
      <c r="HT51" s="230"/>
      <c r="HU51" s="230"/>
      <c r="HV51" s="230"/>
      <c r="HW51" s="230"/>
      <c r="HX51" s="230"/>
      <c r="HY51" s="230"/>
      <c r="HZ51" s="230"/>
      <c r="IA51" s="230"/>
      <c r="IB51" s="230"/>
      <c r="IC51" s="230"/>
      <c r="ID51" s="230"/>
      <c r="IE51" s="230"/>
      <c r="IF51" s="230"/>
      <c r="IG51" s="230"/>
      <c r="IH51" s="230"/>
      <c r="II51" s="230"/>
      <c r="IJ51" s="230"/>
      <c r="IK51" s="230"/>
      <c r="IL51" s="230"/>
      <c r="IM51" s="230"/>
      <c r="IN51" s="230"/>
      <c r="IO51" s="230"/>
      <c r="IP51" s="230"/>
      <c r="IQ51" s="230"/>
      <c r="IR51" s="230"/>
    </row>
    <row r="52" spans="1:252" s="73" customFormat="1">
      <c r="A52" s="193" t="s">
        <v>987</v>
      </c>
      <c r="B52" s="195">
        <f>0.31*B38*12*1.3</f>
        <v>3571.8696000000004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230"/>
      <c r="FG52" s="230"/>
      <c r="FH52" s="230"/>
      <c r="FI52" s="230"/>
      <c r="FJ52" s="230"/>
      <c r="FK52" s="230"/>
      <c r="FL52" s="230"/>
      <c r="FM52" s="230"/>
      <c r="FN52" s="230"/>
      <c r="FO52" s="230"/>
      <c r="FP52" s="230"/>
      <c r="FQ52" s="230"/>
      <c r="FR52" s="230"/>
      <c r="FS52" s="230"/>
      <c r="FT52" s="230"/>
      <c r="FU52" s="230"/>
      <c r="FV52" s="230"/>
      <c r="FW52" s="230"/>
      <c r="FX52" s="230"/>
      <c r="FY52" s="230"/>
      <c r="FZ52" s="230"/>
      <c r="GA52" s="230"/>
      <c r="GB52" s="230"/>
      <c r="GC52" s="230"/>
      <c r="GD52" s="230"/>
      <c r="GE52" s="230"/>
      <c r="GF52" s="230"/>
      <c r="GG52" s="230"/>
      <c r="GH52" s="230"/>
      <c r="GI52" s="230"/>
      <c r="GJ52" s="230"/>
      <c r="GK52" s="230"/>
      <c r="GL52" s="230"/>
      <c r="GM52" s="230"/>
      <c r="GN52" s="230"/>
      <c r="GO52" s="230"/>
      <c r="GP52" s="230"/>
      <c r="GQ52" s="230"/>
      <c r="GR52" s="230"/>
      <c r="GS52" s="230"/>
      <c r="GT52" s="230"/>
      <c r="GU52" s="230"/>
      <c r="GV52" s="230"/>
      <c r="GW52" s="230"/>
      <c r="GX52" s="230"/>
      <c r="GY52" s="230"/>
      <c r="GZ52" s="230"/>
      <c r="HA52" s="230"/>
      <c r="HB52" s="230"/>
      <c r="HC52" s="230"/>
      <c r="HD52" s="230"/>
      <c r="HE52" s="230"/>
      <c r="HF52" s="230"/>
      <c r="HG52" s="230"/>
      <c r="HH52" s="230"/>
      <c r="HI52" s="230"/>
      <c r="HJ52" s="230"/>
      <c r="HK52" s="230"/>
      <c r="HL52" s="230"/>
      <c r="HM52" s="230"/>
      <c r="HN52" s="230"/>
      <c r="HO52" s="230"/>
      <c r="HP52" s="230"/>
      <c r="HQ52" s="230"/>
      <c r="HR52" s="230"/>
      <c r="HS52" s="230"/>
      <c r="HT52" s="230"/>
      <c r="HU52" s="230"/>
      <c r="HV52" s="230"/>
      <c r="HW52" s="230"/>
      <c r="HX52" s="230"/>
      <c r="HY52" s="230"/>
      <c r="HZ52" s="230"/>
      <c r="IA52" s="230"/>
      <c r="IB52" s="230"/>
      <c r="IC52" s="230"/>
      <c r="ID52" s="230"/>
      <c r="IE52" s="230"/>
      <c r="IF52" s="230"/>
      <c r="IG52" s="230"/>
      <c r="IH52" s="230"/>
      <c r="II52" s="230"/>
      <c r="IJ52" s="230"/>
      <c r="IK52" s="230"/>
      <c r="IL52" s="230"/>
      <c r="IM52" s="230"/>
      <c r="IN52" s="230"/>
      <c r="IO52" s="230"/>
      <c r="IP52" s="230"/>
      <c r="IQ52" s="230"/>
      <c r="IR52" s="230"/>
    </row>
    <row r="53" spans="1:252" s="73" customFormat="1">
      <c r="A53" s="193" t="s">
        <v>520</v>
      </c>
      <c r="B53" s="195">
        <f>0.89*12*B38*1.3</f>
        <v>10254.722400000001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230"/>
      <c r="FJ53" s="230"/>
      <c r="FK53" s="230"/>
      <c r="FL53" s="230"/>
      <c r="FM53" s="230"/>
      <c r="FN53" s="230"/>
      <c r="FO53" s="230"/>
      <c r="FP53" s="230"/>
      <c r="FQ53" s="230"/>
      <c r="FR53" s="230"/>
      <c r="FS53" s="230"/>
      <c r="FT53" s="230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  <c r="GJ53" s="230"/>
      <c r="GK53" s="230"/>
      <c r="GL53" s="230"/>
      <c r="GM53" s="230"/>
      <c r="GN53" s="230"/>
      <c r="GO53" s="230"/>
      <c r="GP53" s="230"/>
      <c r="GQ53" s="230"/>
      <c r="GR53" s="230"/>
      <c r="GS53" s="230"/>
      <c r="GT53" s="230"/>
      <c r="GU53" s="230"/>
      <c r="GV53" s="230"/>
      <c r="GW53" s="230"/>
      <c r="GX53" s="230"/>
      <c r="GY53" s="230"/>
      <c r="GZ53" s="230"/>
      <c r="HA53" s="230"/>
      <c r="HB53" s="230"/>
      <c r="HC53" s="230"/>
      <c r="HD53" s="230"/>
      <c r="HE53" s="230"/>
      <c r="HF53" s="230"/>
      <c r="HG53" s="230"/>
      <c r="HH53" s="230"/>
      <c r="HI53" s="230"/>
      <c r="HJ53" s="230"/>
      <c r="HK53" s="230"/>
      <c r="HL53" s="230"/>
      <c r="HM53" s="230"/>
      <c r="HN53" s="230"/>
      <c r="HO53" s="230"/>
      <c r="HP53" s="230"/>
      <c r="HQ53" s="230"/>
      <c r="HR53" s="230"/>
      <c r="HS53" s="230"/>
      <c r="HT53" s="230"/>
      <c r="HU53" s="230"/>
      <c r="HV53" s="230"/>
      <c r="HW53" s="230"/>
      <c r="HX53" s="230"/>
      <c r="HY53" s="230"/>
      <c r="HZ53" s="230"/>
      <c r="IA53" s="230"/>
      <c r="IB53" s="230"/>
      <c r="IC53" s="230"/>
      <c r="ID53" s="230"/>
      <c r="IE53" s="230"/>
      <c r="IF53" s="230"/>
      <c r="IG53" s="230"/>
      <c r="IH53" s="230"/>
      <c r="II53" s="230"/>
      <c r="IJ53" s="230"/>
      <c r="IK53" s="230"/>
      <c r="IL53" s="230"/>
      <c r="IM53" s="230"/>
      <c r="IN53" s="230"/>
      <c r="IO53" s="230"/>
      <c r="IP53" s="230"/>
      <c r="IQ53" s="230"/>
      <c r="IR53" s="230"/>
    </row>
    <row r="54" spans="1:252" s="73" customFormat="1">
      <c r="A54" s="193" t="s">
        <v>1618</v>
      </c>
      <c r="B54" s="195">
        <f>9915.45*1.3</f>
        <v>12890.085000000001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  <c r="FH54" s="230"/>
      <c r="FI54" s="230"/>
      <c r="FJ54" s="230"/>
      <c r="FK54" s="230"/>
      <c r="FL54" s="230"/>
      <c r="FM54" s="230"/>
      <c r="FN54" s="230"/>
      <c r="FO54" s="230"/>
      <c r="FP54" s="230"/>
      <c r="FQ54" s="230"/>
      <c r="FR54" s="230"/>
      <c r="FS54" s="230"/>
      <c r="FT54" s="230"/>
      <c r="FU54" s="230"/>
      <c r="FV54" s="230"/>
      <c r="FW54" s="230"/>
      <c r="FX54" s="230"/>
      <c r="FY54" s="230"/>
      <c r="FZ54" s="230"/>
      <c r="GA54" s="230"/>
      <c r="GB54" s="230"/>
      <c r="GC54" s="230"/>
      <c r="GD54" s="230"/>
      <c r="GE54" s="230"/>
      <c r="GF54" s="230"/>
      <c r="GG54" s="230"/>
      <c r="GH54" s="230"/>
      <c r="GI54" s="230"/>
      <c r="GJ54" s="230"/>
      <c r="GK54" s="230"/>
      <c r="GL54" s="230"/>
      <c r="GM54" s="230"/>
      <c r="GN54" s="230"/>
      <c r="GO54" s="230"/>
      <c r="GP54" s="230"/>
      <c r="GQ54" s="230"/>
      <c r="GR54" s="230"/>
      <c r="GS54" s="230"/>
      <c r="GT54" s="230"/>
      <c r="GU54" s="230"/>
      <c r="GV54" s="230"/>
      <c r="GW54" s="230"/>
      <c r="GX54" s="230"/>
      <c r="GY54" s="230"/>
      <c r="GZ54" s="230"/>
      <c r="HA54" s="230"/>
      <c r="HB54" s="230"/>
      <c r="HC54" s="230"/>
      <c r="HD54" s="230"/>
      <c r="HE54" s="230"/>
      <c r="HF54" s="230"/>
      <c r="HG54" s="230"/>
      <c r="HH54" s="230"/>
      <c r="HI54" s="230"/>
      <c r="HJ54" s="230"/>
      <c r="HK54" s="230"/>
      <c r="HL54" s="230"/>
      <c r="HM54" s="230"/>
      <c r="HN54" s="230"/>
      <c r="HO54" s="230"/>
      <c r="HP54" s="230"/>
      <c r="HQ54" s="230"/>
      <c r="HR54" s="230"/>
      <c r="HS54" s="230"/>
      <c r="HT54" s="230"/>
      <c r="HU54" s="230"/>
      <c r="HV54" s="230"/>
      <c r="HW54" s="230"/>
      <c r="HX54" s="230"/>
      <c r="HY54" s="230"/>
      <c r="HZ54" s="230"/>
      <c r="IA54" s="230"/>
      <c r="IB54" s="230"/>
      <c r="IC54" s="230"/>
      <c r="ID54" s="230"/>
      <c r="IE54" s="230"/>
      <c r="IF54" s="230"/>
      <c r="IG54" s="230"/>
      <c r="IH54" s="230"/>
      <c r="II54" s="230"/>
      <c r="IJ54" s="230"/>
      <c r="IK54" s="230"/>
      <c r="IL54" s="230"/>
      <c r="IM54" s="230"/>
      <c r="IN54" s="230"/>
      <c r="IO54" s="230"/>
      <c r="IP54" s="230"/>
      <c r="IQ54" s="230"/>
      <c r="IR54" s="230"/>
    </row>
    <row r="55" spans="1:252">
      <c r="A55" s="181" t="s">
        <v>600</v>
      </c>
      <c r="B55" s="195">
        <f>100*23*1.3</f>
        <v>2990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179"/>
      <c r="HX55" s="179"/>
      <c r="HY55" s="179"/>
      <c r="HZ55" s="179"/>
      <c r="IA55" s="179"/>
      <c r="IB55" s="179"/>
      <c r="IC55" s="179"/>
      <c r="ID55" s="179"/>
      <c r="IE55" s="179"/>
      <c r="IF55" s="179"/>
      <c r="IG55" s="179"/>
      <c r="IH55" s="179"/>
      <c r="II55" s="179"/>
      <c r="IJ55" s="179"/>
      <c r="IK55" s="179"/>
      <c r="IL55" s="179"/>
      <c r="IM55" s="179"/>
      <c r="IN55" s="179"/>
      <c r="IO55" s="179"/>
      <c r="IP55" s="179"/>
      <c r="IQ55" s="179"/>
      <c r="IR55" s="179"/>
    </row>
    <row r="56" spans="1:252" s="73" customFormat="1">
      <c r="A56" s="193" t="s">
        <v>601</v>
      </c>
      <c r="B56" s="195">
        <f>0.02*9100*13*1.302*1.3</f>
        <v>4004.6916000000006</v>
      </c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0"/>
      <c r="DX56" s="230"/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230"/>
      <c r="EZ56" s="230"/>
      <c r="FA56" s="230"/>
      <c r="FB56" s="230"/>
      <c r="FC56" s="230"/>
      <c r="FD56" s="230"/>
      <c r="FE56" s="230"/>
      <c r="FF56" s="230"/>
      <c r="FG56" s="230"/>
      <c r="FH56" s="230"/>
      <c r="FI56" s="230"/>
      <c r="FJ56" s="230"/>
      <c r="FK56" s="230"/>
      <c r="FL56" s="230"/>
      <c r="FM56" s="230"/>
      <c r="FN56" s="230"/>
      <c r="FO56" s="230"/>
      <c r="FP56" s="230"/>
      <c r="FQ56" s="230"/>
      <c r="FR56" s="230"/>
      <c r="FS56" s="230"/>
      <c r="FT56" s="230"/>
      <c r="FU56" s="230"/>
      <c r="FV56" s="230"/>
      <c r="FW56" s="230"/>
      <c r="FX56" s="230"/>
      <c r="FY56" s="230"/>
      <c r="FZ56" s="230"/>
      <c r="GA56" s="230"/>
      <c r="GB56" s="230"/>
      <c r="GC56" s="230"/>
      <c r="GD56" s="230"/>
      <c r="GE56" s="230"/>
      <c r="GF56" s="230"/>
      <c r="GG56" s="230"/>
      <c r="GH56" s="230"/>
      <c r="GI56" s="230"/>
      <c r="GJ56" s="230"/>
      <c r="GK56" s="230"/>
      <c r="GL56" s="230"/>
      <c r="GM56" s="230"/>
      <c r="GN56" s="230"/>
      <c r="GO56" s="230"/>
      <c r="GP56" s="230"/>
      <c r="GQ56" s="230"/>
      <c r="GR56" s="230"/>
      <c r="GS56" s="230"/>
      <c r="GT56" s="230"/>
      <c r="GU56" s="230"/>
      <c r="GV56" s="230"/>
      <c r="GW56" s="230"/>
      <c r="GX56" s="230"/>
      <c r="GY56" s="230"/>
      <c r="GZ56" s="230"/>
      <c r="HA56" s="230"/>
      <c r="HB56" s="230"/>
      <c r="HC56" s="230"/>
      <c r="HD56" s="230"/>
      <c r="HE56" s="230"/>
      <c r="HF56" s="230"/>
      <c r="HG56" s="230"/>
      <c r="HH56" s="230"/>
      <c r="HI56" s="230"/>
      <c r="HJ56" s="230"/>
      <c r="HK56" s="230"/>
      <c r="HL56" s="230"/>
      <c r="HM56" s="230"/>
      <c r="HN56" s="230"/>
      <c r="HO56" s="230"/>
      <c r="HP56" s="230"/>
      <c r="HQ56" s="230"/>
      <c r="HR56" s="230"/>
      <c r="HS56" s="230"/>
      <c r="HT56" s="230"/>
      <c r="HU56" s="230"/>
      <c r="HV56" s="230"/>
      <c r="HW56" s="230"/>
      <c r="HX56" s="230"/>
      <c r="HY56" s="230"/>
      <c r="HZ56" s="230"/>
      <c r="IA56" s="230"/>
      <c r="IB56" s="230"/>
      <c r="IC56" s="230"/>
      <c r="ID56" s="230"/>
      <c r="IE56" s="230"/>
      <c r="IF56" s="230"/>
      <c r="IG56" s="230"/>
      <c r="IH56" s="230"/>
      <c r="II56" s="230"/>
      <c r="IJ56" s="230"/>
      <c r="IK56" s="230"/>
      <c r="IL56" s="230"/>
      <c r="IM56" s="230"/>
      <c r="IN56" s="230"/>
      <c r="IO56" s="230"/>
      <c r="IP56" s="230"/>
      <c r="IQ56" s="230"/>
      <c r="IR56" s="230"/>
    </row>
    <row r="57" spans="1:252">
      <c r="A57" s="181" t="s">
        <v>602</v>
      </c>
      <c r="B57" s="195">
        <f>B35</f>
        <v>61.5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  <c r="FL57" s="179"/>
      <c r="FM57" s="179"/>
      <c r="FN57" s="179"/>
      <c r="FO57" s="179"/>
      <c r="FP57" s="179"/>
      <c r="FQ57" s="179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9"/>
      <c r="GL57" s="179"/>
      <c r="GM57" s="179"/>
      <c r="GN57" s="179"/>
      <c r="GO57" s="179"/>
      <c r="GP57" s="179"/>
      <c r="GQ57" s="179"/>
      <c r="GR57" s="179"/>
      <c r="GS57" s="179"/>
      <c r="GT57" s="179"/>
      <c r="GU57" s="179"/>
      <c r="GV57" s="179"/>
      <c r="GW57" s="179"/>
      <c r="GX57" s="179"/>
      <c r="GY57" s="179"/>
      <c r="GZ57" s="179"/>
      <c r="HA57" s="179"/>
      <c r="HB57" s="179"/>
      <c r="HC57" s="179"/>
      <c r="HD57" s="179"/>
      <c r="HE57" s="179"/>
      <c r="HF57" s="179"/>
      <c r="HG57" s="179"/>
      <c r="HH57" s="179"/>
      <c r="HI57" s="179"/>
      <c r="HJ57" s="179"/>
      <c r="HK57" s="179"/>
      <c r="HL57" s="179"/>
      <c r="HM57" s="179"/>
      <c r="HN57" s="179"/>
      <c r="HO57" s="179"/>
      <c r="HP57" s="179"/>
      <c r="HQ57" s="179"/>
      <c r="HR57" s="179"/>
      <c r="HS57" s="179"/>
      <c r="HT57" s="179"/>
      <c r="HU57" s="179"/>
      <c r="HV57" s="179"/>
      <c r="HW57" s="179"/>
      <c r="HX57" s="179"/>
      <c r="HY57" s="179"/>
      <c r="HZ57" s="179"/>
      <c r="IA57" s="179"/>
      <c r="IB57" s="179"/>
      <c r="IC57" s="179"/>
      <c r="ID57" s="179"/>
      <c r="IE57" s="179"/>
      <c r="IF57" s="179"/>
      <c r="IG57" s="179"/>
      <c r="IH57" s="179"/>
      <c r="II57" s="179"/>
      <c r="IJ57" s="179"/>
      <c r="IK57" s="179"/>
      <c r="IL57" s="179"/>
      <c r="IM57" s="179"/>
      <c r="IN57" s="179"/>
      <c r="IO57" s="179"/>
      <c r="IP57" s="179"/>
      <c r="IQ57" s="179"/>
      <c r="IR57" s="179"/>
    </row>
    <row r="58" spans="1:252">
      <c r="A58" s="181" t="s">
        <v>603</v>
      </c>
      <c r="B58" s="195">
        <f>B57*130*1.302*1.3</f>
        <v>13532.337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  <c r="FL58" s="179"/>
      <c r="FM58" s="179"/>
      <c r="FN58" s="179"/>
      <c r="FO58" s="179"/>
      <c r="FP58" s="179"/>
      <c r="FQ58" s="179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9"/>
      <c r="GL58" s="179"/>
      <c r="GM58" s="179"/>
      <c r="GN58" s="179"/>
      <c r="GO58" s="179"/>
      <c r="GP58" s="179"/>
      <c r="GQ58" s="179"/>
      <c r="GR58" s="179"/>
      <c r="GS58" s="179"/>
      <c r="GT58" s="179"/>
      <c r="GU58" s="179"/>
      <c r="GV58" s="179"/>
      <c r="GW58" s="179"/>
      <c r="GX58" s="179"/>
      <c r="GY58" s="179"/>
      <c r="GZ58" s="179"/>
      <c r="HA58" s="179"/>
      <c r="HB58" s="179"/>
      <c r="HC58" s="179"/>
      <c r="HD58" s="179"/>
      <c r="HE58" s="179"/>
      <c r="HF58" s="179"/>
      <c r="HG58" s="179"/>
      <c r="HH58" s="179"/>
      <c r="HI58" s="179"/>
      <c r="HJ58" s="179"/>
      <c r="HK58" s="179"/>
      <c r="HL58" s="179"/>
      <c r="HM58" s="179"/>
      <c r="HN58" s="179"/>
      <c r="HO58" s="179"/>
      <c r="HP58" s="179"/>
      <c r="HQ58" s="179"/>
      <c r="HR58" s="179"/>
      <c r="HS58" s="179"/>
      <c r="HT58" s="179"/>
      <c r="HU58" s="179"/>
      <c r="HV58" s="179"/>
      <c r="HW58" s="179"/>
      <c r="HX58" s="179"/>
      <c r="HY58" s="179"/>
      <c r="HZ58" s="179"/>
      <c r="IA58" s="179"/>
      <c r="IB58" s="179"/>
      <c r="IC58" s="179"/>
      <c r="ID58" s="179"/>
      <c r="IE58" s="179"/>
      <c r="IF58" s="179"/>
      <c r="IG58" s="179"/>
      <c r="IH58" s="179"/>
      <c r="II58" s="179"/>
      <c r="IJ58" s="179"/>
      <c r="IK58" s="179"/>
      <c r="IL58" s="179"/>
      <c r="IM58" s="179"/>
      <c r="IN58" s="179"/>
      <c r="IO58" s="179"/>
      <c r="IP58" s="179"/>
      <c r="IQ58" s="179"/>
      <c r="IR58" s="179"/>
    </row>
    <row r="59" spans="1:252">
      <c r="A59" s="181" t="s">
        <v>1620</v>
      </c>
      <c r="B59" s="195">
        <f>B43</f>
        <v>4623.63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79"/>
      <c r="FK59" s="179"/>
      <c r="FL59" s="179"/>
      <c r="FM59" s="179"/>
      <c r="FN59" s="179"/>
      <c r="FO59" s="179"/>
      <c r="FP59" s="179"/>
      <c r="FQ59" s="179"/>
      <c r="FR59" s="179"/>
      <c r="FS59" s="179"/>
      <c r="FT59" s="179"/>
      <c r="FU59" s="179"/>
      <c r="FV59" s="179"/>
      <c r="FW59" s="179"/>
      <c r="FX59" s="179"/>
      <c r="FY59" s="179"/>
      <c r="FZ59" s="179"/>
      <c r="GA59" s="179"/>
      <c r="GB59" s="179"/>
      <c r="GC59" s="179"/>
      <c r="GD59" s="179"/>
      <c r="GE59" s="179"/>
      <c r="GF59" s="179"/>
      <c r="GG59" s="179"/>
      <c r="GH59" s="179"/>
      <c r="GI59" s="179"/>
      <c r="GJ59" s="179"/>
      <c r="GK59" s="179"/>
      <c r="GL59" s="179"/>
      <c r="GM59" s="179"/>
      <c r="GN59" s="179"/>
      <c r="GO59" s="179"/>
      <c r="GP59" s="179"/>
      <c r="GQ59" s="179"/>
      <c r="GR59" s="179"/>
      <c r="GS59" s="179"/>
      <c r="GT59" s="179"/>
      <c r="GU59" s="179"/>
      <c r="GV59" s="179"/>
      <c r="GW59" s="179"/>
      <c r="GX59" s="179"/>
      <c r="GY59" s="179"/>
      <c r="GZ59" s="179"/>
      <c r="HA59" s="179"/>
      <c r="HB59" s="179"/>
      <c r="HC59" s="179"/>
      <c r="HD59" s="179"/>
      <c r="HE59" s="179"/>
      <c r="HF59" s="179"/>
      <c r="HG59" s="179"/>
      <c r="HH59" s="179"/>
      <c r="HI59" s="179"/>
      <c r="HJ59" s="179"/>
      <c r="HK59" s="179"/>
      <c r="HL59" s="179"/>
      <c r="HM59" s="179"/>
      <c r="HN59" s="179"/>
      <c r="HO59" s="179"/>
      <c r="HP59" s="179"/>
      <c r="HQ59" s="179"/>
      <c r="HR59" s="179"/>
      <c r="HS59" s="179"/>
      <c r="HT59" s="179"/>
      <c r="HU59" s="179"/>
      <c r="HV59" s="179"/>
      <c r="HW59" s="179"/>
      <c r="HX59" s="179"/>
      <c r="HY59" s="179"/>
      <c r="HZ59" s="179"/>
      <c r="IA59" s="179"/>
      <c r="IB59" s="179"/>
      <c r="IC59" s="179"/>
      <c r="ID59" s="179"/>
      <c r="IE59" s="179"/>
      <c r="IF59" s="179"/>
      <c r="IG59" s="179"/>
      <c r="IH59" s="179"/>
      <c r="II59" s="179"/>
      <c r="IJ59" s="179"/>
      <c r="IK59" s="179"/>
      <c r="IL59" s="179"/>
      <c r="IM59" s="179"/>
      <c r="IN59" s="179"/>
      <c r="IO59" s="179"/>
      <c r="IP59" s="179"/>
      <c r="IQ59" s="179"/>
      <c r="IR59" s="179"/>
    </row>
    <row r="60" spans="1:252" s="73" customFormat="1">
      <c r="A60" s="193" t="s">
        <v>1611</v>
      </c>
      <c r="B60" s="195">
        <f>(765+3659.21)*1.3</f>
        <v>5751.473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  <c r="FF60" s="230"/>
      <c r="FG60" s="230"/>
      <c r="FH60" s="230"/>
      <c r="FI60" s="230"/>
      <c r="FJ60" s="230"/>
      <c r="FK60" s="230"/>
      <c r="FL60" s="230"/>
      <c r="FM60" s="230"/>
      <c r="FN60" s="230"/>
      <c r="FO60" s="230"/>
      <c r="FP60" s="230"/>
      <c r="FQ60" s="230"/>
      <c r="FR60" s="230"/>
      <c r="FS60" s="230"/>
      <c r="FT60" s="230"/>
      <c r="FU60" s="230"/>
      <c r="FV60" s="230"/>
      <c r="FW60" s="230"/>
      <c r="FX60" s="230"/>
      <c r="FY60" s="230"/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230"/>
      <c r="GK60" s="230"/>
      <c r="GL60" s="230"/>
      <c r="GM60" s="230"/>
      <c r="GN60" s="230"/>
      <c r="GO60" s="230"/>
      <c r="GP60" s="230"/>
      <c r="GQ60" s="230"/>
      <c r="GR60" s="230"/>
      <c r="GS60" s="230"/>
      <c r="GT60" s="230"/>
      <c r="GU60" s="230"/>
      <c r="GV60" s="230"/>
      <c r="GW60" s="230"/>
      <c r="GX60" s="230"/>
      <c r="GY60" s="230"/>
      <c r="GZ60" s="230"/>
      <c r="HA60" s="230"/>
      <c r="HB60" s="230"/>
      <c r="HC60" s="230"/>
      <c r="HD60" s="230"/>
      <c r="HE60" s="230"/>
      <c r="HF60" s="230"/>
      <c r="HG60" s="230"/>
      <c r="HH60" s="230"/>
      <c r="HI60" s="230"/>
      <c r="HJ60" s="230"/>
      <c r="HK60" s="230"/>
      <c r="HL60" s="230"/>
      <c r="HM60" s="230"/>
      <c r="HN60" s="230"/>
      <c r="HO60" s="230"/>
      <c r="HP60" s="230"/>
      <c r="HQ60" s="230"/>
      <c r="HR60" s="230"/>
      <c r="HS60" s="230"/>
      <c r="HT60" s="230"/>
      <c r="HU60" s="230"/>
      <c r="HV60" s="230"/>
      <c r="HW60" s="230"/>
      <c r="HX60" s="230"/>
      <c r="HY60" s="230"/>
      <c r="HZ60" s="230"/>
      <c r="IA60" s="230"/>
      <c r="IB60" s="230"/>
      <c r="IC60" s="230"/>
      <c r="ID60" s="230"/>
      <c r="IE60" s="230"/>
      <c r="IF60" s="230"/>
      <c r="IG60" s="230"/>
      <c r="IH60" s="230"/>
      <c r="II60" s="230"/>
      <c r="IJ60" s="230"/>
      <c r="IK60" s="230"/>
      <c r="IL60" s="230"/>
      <c r="IM60" s="230"/>
      <c r="IN60" s="230"/>
      <c r="IO60" s="230"/>
      <c r="IP60" s="230"/>
      <c r="IQ60" s="230"/>
      <c r="IR60" s="230"/>
    </row>
    <row r="61" spans="1:252">
      <c r="A61" s="181" t="s">
        <v>724</v>
      </c>
      <c r="B61" s="195">
        <f>2260.37*1.3</f>
        <v>2938.4809999999998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  <c r="FL61" s="179"/>
      <c r="FM61" s="179"/>
      <c r="FN61" s="179"/>
      <c r="FO61" s="179"/>
      <c r="FP61" s="179"/>
      <c r="FQ61" s="179"/>
      <c r="FR61" s="179"/>
      <c r="FS61" s="179"/>
      <c r="FT61" s="179"/>
      <c r="FU61" s="179"/>
      <c r="FV61" s="179"/>
      <c r="FW61" s="179"/>
      <c r="FX61" s="179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  <c r="GI61" s="179"/>
      <c r="GJ61" s="179"/>
      <c r="GK61" s="179"/>
      <c r="GL61" s="179"/>
      <c r="GM61" s="179"/>
      <c r="GN61" s="179"/>
      <c r="GO61" s="179"/>
      <c r="GP61" s="179"/>
      <c r="GQ61" s="179"/>
      <c r="GR61" s="179"/>
      <c r="GS61" s="179"/>
      <c r="GT61" s="179"/>
      <c r="GU61" s="179"/>
      <c r="GV61" s="179"/>
      <c r="GW61" s="179"/>
      <c r="GX61" s="179"/>
      <c r="GY61" s="179"/>
      <c r="GZ61" s="179"/>
      <c r="HA61" s="179"/>
      <c r="HB61" s="179"/>
      <c r="HC61" s="179"/>
      <c r="HD61" s="179"/>
      <c r="HE61" s="179"/>
      <c r="HF61" s="179"/>
      <c r="HG61" s="179"/>
      <c r="HH61" s="179"/>
      <c r="HI61" s="179"/>
      <c r="HJ61" s="179"/>
      <c r="HK61" s="179"/>
      <c r="HL61" s="179"/>
      <c r="HM61" s="179"/>
      <c r="HN61" s="179"/>
      <c r="HO61" s="179"/>
      <c r="HP61" s="179"/>
      <c r="HQ61" s="179"/>
      <c r="HR61" s="179"/>
      <c r="HS61" s="179"/>
      <c r="HT61" s="179"/>
      <c r="HU61" s="179"/>
      <c r="HV61" s="179"/>
      <c r="HW61" s="179"/>
      <c r="HX61" s="179"/>
      <c r="HY61" s="179"/>
      <c r="HZ61" s="179"/>
      <c r="IA61" s="179"/>
      <c r="IB61" s="179"/>
      <c r="IC61" s="179"/>
      <c r="ID61" s="179"/>
      <c r="IE61" s="179"/>
      <c r="IF61" s="179"/>
      <c r="IG61" s="179"/>
      <c r="IH61" s="179"/>
      <c r="II61" s="179"/>
      <c r="IJ61" s="179"/>
      <c r="IK61" s="179"/>
      <c r="IL61" s="179"/>
      <c r="IM61" s="179"/>
      <c r="IN61" s="179"/>
      <c r="IO61" s="179"/>
      <c r="IP61" s="179"/>
      <c r="IQ61" s="179"/>
      <c r="IR61" s="179"/>
    </row>
    <row r="62" spans="1:252">
      <c r="A62" s="181" t="s">
        <v>1762</v>
      </c>
      <c r="B62" s="195">
        <f>B46-B48</f>
        <v>11102.490130007121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9"/>
      <c r="GL62" s="179"/>
      <c r="GM62" s="179"/>
      <c r="GN62" s="179"/>
      <c r="GO62" s="179"/>
      <c r="GP62" s="179"/>
      <c r="GQ62" s="179"/>
      <c r="GR62" s="179"/>
      <c r="GS62" s="179"/>
      <c r="GT62" s="179"/>
      <c r="GU62" s="179"/>
      <c r="GV62" s="179"/>
      <c r="GW62" s="179"/>
      <c r="GX62" s="179"/>
      <c r="GY62" s="179"/>
      <c r="GZ62" s="179"/>
      <c r="HA62" s="179"/>
      <c r="HB62" s="179"/>
      <c r="HC62" s="179"/>
      <c r="HD62" s="179"/>
      <c r="HE62" s="179"/>
      <c r="HF62" s="179"/>
      <c r="HG62" s="179"/>
      <c r="HH62" s="179"/>
      <c r="HI62" s="179"/>
      <c r="HJ62" s="179"/>
      <c r="HK62" s="179"/>
      <c r="HL62" s="179"/>
      <c r="HM62" s="179"/>
      <c r="HN62" s="179"/>
      <c r="HO62" s="179"/>
      <c r="HP62" s="179"/>
      <c r="HQ62" s="179"/>
      <c r="HR62" s="179"/>
      <c r="HS62" s="179"/>
      <c r="HT62" s="179"/>
      <c r="HU62" s="179"/>
      <c r="HV62" s="179"/>
      <c r="HW62" s="179"/>
      <c r="HX62" s="179"/>
      <c r="HY62" s="179"/>
      <c r="HZ62" s="179"/>
      <c r="IA62" s="179"/>
      <c r="IB62" s="179"/>
      <c r="IC62" s="179"/>
      <c r="ID62" s="179"/>
      <c r="IE62" s="179"/>
      <c r="IF62" s="179"/>
      <c r="IG62" s="179"/>
      <c r="IH62" s="179"/>
      <c r="II62" s="179"/>
      <c r="IJ62" s="179"/>
      <c r="IK62" s="179"/>
      <c r="IL62" s="179"/>
      <c r="IM62" s="179"/>
      <c r="IN62" s="179"/>
      <c r="IO62" s="179"/>
      <c r="IP62" s="179"/>
      <c r="IQ62" s="179"/>
      <c r="IR62" s="179"/>
    </row>
    <row r="63" spans="1:252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179"/>
      <c r="FP63" s="179"/>
      <c r="FQ63" s="179"/>
      <c r="FR63" s="179"/>
      <c r="FS63" s="179"/>
      <c r="FT63" s="179"/>
      <c r="FU63" s="179"/>
      <c r="FV63" s="179"/>
      <c r="FW63" s="179"/>
      <c r="FX63" s="179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  <c r="GI63" s="179"/>
      <c r="GJ63" s="179"/>
      <c r="GK63" s="179"/>
      <c r="GL63" s="179"/>
      <c r="GM63" s="179"/>
      <c r="GN63" s="179"/>
      <c r="GO63" s="179"/>
      <c r="GP63" s="179"/>
      <c r="GQ63" s="179"/>
      <c r="GR63" s="179"/>
      <c r="GS63" s="179"/>
      <c r="GT63" s="179"/>
      <c r="GU63" s="179"/>
      <c r="GV63" s="179"/>
      <c r="GW63" s="179"/>
      <c r="GX63" s="179"/>
      <c r="GY63" s="179"/>
      <c r="GZ63" s="179"/>
      <c r="HA63" s="179"/>
      <c r="HB63" s="179"/>
      <c r="HC63" s="179"/>
      <c r="HD63" s="179"/>
      <c r="HE63" s="179"/>
      <c r="HF63" s="179"/>
      <c r="HG63" s="179"/>
      <c r="HH63" s="179"/>
      <c r="HI63" s="179"/>
      <c r="HJ63" s="179"/>
      <c r="HK63" s="179"/>
      <c r="HL63" s="179"/>
      <c r="HM63" s="179"/>
      <c r="HN63" s="179"/>
      <c r="HO63" s="179"/>
      <c r="HP63" s="179"/>
      <c r="HQ63" s="179"/>
      <c r="HR63" s="179"/>
      <c r="HS63" s="179"/>
      <c r="HT63" s="179"/>
      <c r="HU63" s="179"/>
      <c r="HV63" s="179"/>
      <c r="HW63" s="179"/>
      <c r="HX63" s="179"/>
      <c r="HY63" s="179"/>
      <c r="HZ63" s="179"/>
      <c r="IA63" s="179"/>
      <c r="IB63" s="179"/>
      <c r="IC63" s="179"/>
      <c r="ID63" s="179"/>
      <c r="IE63" s="179"/>
      <c r="IF63" s="179"/>
      <c r="IG63" s="179"/>
      <c r="IH63" s="179"/>
      <c r="II63" s="179"/>
      <c r="IJ63" s="179"/>
      <c r="IK63" s="179"/>
      <c r="IL63" s="179"/>
      <c r="IM63" s="179"/>
      <c r="IN63" s="179"/>
      <c r="IO63" s="179"/>
      <c r="IP63" s="179"/>
      <c r="IQ63" s="179"/>
      <c r="IR63" s="179"/>
    </row>
    <row r="64" spans="1:252">
      <c r="A64" s="448" t="s">
        <v>605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  <c r="GI64" s="179"/>
      <c r="GJ64" s="179"/>
      <c r="GK64" s="179"/>
      <c r="GL64" s="179"/>
      <c r="GM64" s="179"/>
      <c r="GN64" s="179"/>
      <c r="GO64" s="179"/>
      <c r="GP64" s="179"/>
      <c r="GQ64" s="179"/>
      <c r="GR64" s="179"/>
      <c r="GS64" s="179"/>
      <c r="GT64" s="179"/>
      <c r="GU64" s="179"/>
      <c r="GV64" s="179"/>
      <c r="GW64" s="179"/>
      <c r="GX64" s="179"/>
      <c r="GY64" s="179"/>
      <c r="GZ64" s="179"/>
      <c r="HA64" s="179"/>
      <c r="HB64" s="179"/>
      <c r="HC64" s="179"/>
      <c r="HD64" s="179"/>
      <c r="HE64" s="179"/>
      <c r="HF64" s="179"/>
      <c r="HG64" s="179"/>
      <c r="HH64" s="179"/>
      <c r="HI64" s="179"/>
      <c r="HJ64" s="179"/>
      <c r="HK64" s="179"/>
      <c r="HL64" s="179"/>
      <c r="HM64" s="179"/>
      <c r="HN64" s="179"/>
      <c r="HO64" s="179"/>
      <c r="HP64" s="179"/>
      <c r="HQ64" s="179"/>
      <c r="HR64" s="179"/>
      <c r="HS64" s="179"/>
      <c r="HT64" s="179"/>
      <c r="HU64" s="179"/>
      <c r="HV64" s="179"/>
      <c r="HW64" s="179"/>
      <c r="HX64" s="179"/>
      <c r="HY64" s="179"/>
      <c r="HZ64" s="179"/>
      <c r="IA64" s="179"/>
      <c r="IB64" s="179"/>
      <c r="IC64" s="179"/>
      <c r="ID64" s="179"/>
      <c r="IE64" s="179"/>
      <c r="IF64" s="179"/>
      <c r="IG64" s="179"/>
      <c r="IH64" s="179"/>
      <c r="II64" s="179"/>
      <c r="IJ64" s="179"/>
      <c r="IK64" s="179"/>
      <c r="IL64" s="179"/>
      <c r="IM64" s="179"/>
      <c r="IN64" s="179"/>
      <c r="IO64" s="179"/>
      <c r="IP64" s="179"/>
      <c r="IQ64" s="179"/>
      <c r="IR64" s="179"/>
    </row>
    <row r="66" spans="1:2">
      <c r="A66" s="321" t="s">
        <v>1612</v>
      </c>
      <c r="B66">
        <f>5.94*12*B38</f>
        <v>52647.408000000003</v>
      </c>
    </row>
    <row r="67" spans="1:2">
      <c r="B67" s="276">
        <f>B66+B48</f>
        <v>289324.80786999292</v>
      </c>
    </row>
    <row r="68" spans="1:2">
      <c r="B68">
        <f>B67/B48</f>
        <v>1.2224437484479689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0"/>
  <sheetViews>
    <sheetView topLeftCell="A70" workbookViewId="0">
      <selection activeCell="A70" sqref="A70:B98"/>
    </sheetView>
  </sheetViews>
  <sheetFormatPr defaultRowHeight="15"/>
  <cols>
    <col min="1" max="1" width="81.7109375" customWidth="1"/>
    <col min="2" max="2" width="10.7109375" customWidth="1"/>
  </cols>
  <sheetData>
    <row r="1" spans="1:2" ht="15.75">
      <c r="A1" s="701" t="s">
        <v>364</v>
      </c>
      <c r="B1" s="701"/>
    </row>
    <row r="2" spans="1:2" ht="15.75">
      <c r="A2" s="702" t="s">
        <v>1627</v>
      </c>
      <c r="B2" s="702"/>
    </row>
    <row r="3" spans="1:2" s="55" customFormat="1" ht="15.75">
      <c r="A3" s="702" t="s">
        <v>1628</v>
      </c>
      <c r="B3" s="702"/>
    </row>
    <row r="4" spans="1:2" s="55" customFormat="1" ht="15.75">
      <c r="A4" s="96"/>
      <c r="B4" s="86"/>
    </row>
    <row r="5" spans="1:2" ht="30.75" thickBot="1">
      <c r="A5" s="486" t="s">
        <v>229</v>
      </c>
      <c r="B5" s="82" t="s">
        <v>232</v>
      </c>
    </row>
    <row r="6" spans="1:2" ht="15.75" thickBot="1">
      <c r="A6" s="492" t="s">
        <v>57</v>
      </c>
      <c r="B6" s="72"/>
    </row>
    <row r="7" spans="1:2" s="73" customFormat="1" ht="29.25" thickBot="1">
      <c r="A7" s="262" t="s">
        <v>837</v>
      </c>
      <c r="B7" s="129">
        <v>12</v>
      </c>
    </row>
    <row r="8" spans="1:2" s="73" customFormat="1" ht="15.75" thickBot="1">
      <c r="A8" s="262" t="s">
        <v>850</v>
      </c>
      <c r="B8" s="129">
        <v>8</v>
      </c>
    </row>
    <row r="9" spans="1:2" s="73" customFormat="1" ht="18.75" customHeight="1" thickBot="1">
      <c r="A9" s="262" t="s">
        <v>849</v>
      </c>
      <c r="B9" s="129">
        <v>2</v>
      </c>
    </row>
    <row r="10" spans="1:2" s="73" customFormat="1">
      <c r="A10" s="490" t="s">
        <v>854</v>
      </c>
      <c r="B10" s="72">
        <v>1.5</v>
      </c>
    </row>
    <row r="11" spans="1:2" s="73" customFormat="1" ht="30">
      <c r="A11" s="94" t="s">
        <v>867</v>
      </c>
      <c r="B11" s="72">
        <v>16</v>
      </c>
    </row>
    <row r="12" spans="1:2" s="73" customFormat="1" ht="30">
      <c r="A12" s="144" t="s">
        <v>1730</v>
      </c>
      <c r="B12" s="72">
        <v>8</v>
      </c>
    </row>
    <row r="13" spans="1:2" s="73" customFormat="1">
      <c r="A13" s="144" t="s">
        <v>1736</v>
      </c>
      <c r="B13" s="72">
        <v>4</v>
      </c>
    </row>
    <row r="14" spans="1:2">
      <c r="A14" s="493" t="s">
        <v>66</v>
      </c>
      <c r="B14" s="72"/>
    </row>
    <row r="15" spans="1:2" s="73" customFormat="1" ht="21.75" customHeight="1">
      <c r="A15" s="132" t="s">
        <v>840</v>
      </c>
      <c r="B15" s="72">
        <v>8</v>
      </c>
    </row>
    <row r="16" spans="1:2" s="73" customFormat="1" ht="15" customHeight="1">
      <c r="A16" s="84" t="s">
        <v>860</v>
      </c>
      <c r="B16" s="72">
        <v>2</v>
      </c>
    </row>
    <row r="17" spans="1:2" s="73" customFormat="1" ht="16.5" customHeight="1">
      <c r="A17" s="489" t="s">
        <v>874</v>
      </c>
      <c r="B17" s="72">
        <v>4</v>
      </c>
    </row>
    <row r="18" spans="1:2" s="73" customFormat="1" ht="27.75" customHeight="1">
      <c r="A18" s="489" t="s">
        <v>1719</v>
      </c>
      <c r="B18" s="72">
        <v>1</v>
      </c>
    </row>
    <row r="19" spans="1:2">
      <c r="A19" s="491" t="s">
        <v>590</v>
      </c>
      <c r="B19" s="72"/>
    </row>
    <row r="20" spans="1:2" s="73" customFormat="1" ht="28.5">
      <c r="A20" s="487" t="s">
        <v>1715</v>
      </c>
      <c r="B20" s="72">
        <v>1</v>
      </c>
    </row>
    <row r="21" spans="1:2" s="73" customFormat="1">
      <c r="A21" s="226" t="s">
        <v>841</v>
      </c>
      <c r="B21" s="72">
        <v>3</v>
      </c>
    </row>
    <row r="22" spans="1:2" s="73" customFormat="1">
      <c r="A22" s="400" t="s">
        <v>843</v>
      </c>
      <c r="B22" s="72">
        <v>2.5</v>
      </c>
    </row>
    <row r="23" spans="1:2" s="73" customFormat="1" ht="25.5" customHeight="1">
      <c r="A23" s="487" t="s">
        <v>844</v>
      </c>
      <c r="B23" s="72">
        <v>3</v>
      </c>
    </row>
    <row r="24" spans="1:2" s="73" customFormat="1">
      <c r="A24" s="488" t="s">
        <v>845</v>
      </c>
      <c r="B24" s="72">
        <v>6</v>
      </c>
    </row>
    <row r="25" spans="1:2" s="73" customFormat="1">
      <c r="A25" s="488" t="s">
        <v>846</v>
      </c>
      <c r="B25" s="72">
        <v>3</v>
      </c>
    </row>
    <row r="26" spans="1:2" s="73" customFormat="1" ht="28.5">
      <c r="A26" s="489" t="s">
        <v>853</v>
      </c>
      <c r="B26" s="72">
        <v>8</v>
      </c>
    </row>
    <row r="27" spans="1:2" s="73" customFormat="1" ht="28.5">
      <c r="A27" s="489" t="s">
        <v>852</v>
      </c>
      <c r="B27" s="72">
        <v>3</v>
      </c>
    </row>
    <row r="28" spans="1:2" s="73" customFormat="1">
      <c r="A28" s="489" t="s">
        <v>855</v>
      </c>
      <c r="B28" s="72">
        <v>6</v>
      </c>
    </row>
    <row r="29" spans="1:2" s="73" customFormat="1" ht="28.5">
      <c r="A29" s="489" t="s">
        <v>847</v>
      </c>
      <c r="B29" s="72">
        <v>9</v>
      </c>
    </row>
    <row r="30" spans="1:2" s="73" customFormat="1" ht="28.5">
      <c r="A30" s="489" t="s">
        <v>848</v>
      </c>
      <c r="B30" s="72">
        <v>15</v>
      </c>
    </row>
    <row r="31" spans="1:2" s="73" customFormat="1">
      <c r="A31" s="489" t="s">
        <v>1716</v>
      </c>
      <c r="B31" s="72">
        <v>16</v>
      </c>
    </row>
    <row r="32" spans="1:2" s="73" customFormat="1">
      <c r="A32" s="489" t="s">
        <v>856</v>
      </c>
      <c r="B32" s="72">
        <v>1.5</v>
      </c>
    </row>
    <row r="33" spans="1:2" s="73" customFormat="1" ht="28.5">
      <c r="A33" s="489" t="s">
        <v>1717</v>
      </c>
      <c r="B33" s="72">
        <v>1</v>
      </c>
    </row>
    <row r="34" spans="1:2" s="73" customFormat="1" ht="28.5">
      <c r="A34" s="489" t="s">
        <v>861</v>
      </c>
      <c r="B34" s="72">
        <v>12</v>
      </c>
    </row>
    <row r="35" spans="1:2" s="73" customFormat="1">
      <c r="A35" s="489" t="s">
        <v>857</v>
      </c>
      <c r="B35" s="72">
        <v>2.5</v>
      </c>
    </row>
    <row r="36" spans="1:2" s="73" customFormat="1" ht="21.75" customHeight="1">
      <c r="A36" s="489" t="s">
        <v>858</v>
      </c>
      <c r="B36" s="72">
        <v>24</v>
      </c>
    </row>
    <row r="37" spans="1:2" s="73" customFormat="1" ht="23.25" customHeight="1">
      <c r="A37" s="489" t="s">
        <v>859</v>
      </c>
      <c r="B37" s="72">
        <v>6</v>
      </c>
    </row>
    <row r="38" spans="1:2" s="73" customFormat="1" ht="32.25" customHeight="1">
      <c r="A38" s="487" t="s">
        <v>862</v>
      </c>
      <c r="B38" s="72">
        <v>0.5</v>
      </c>
    </row>
    <row r="39" spans="1:2" s="73" customFormat="1" ht="33" customHeight="1">
      <c r="A39" s="489" t="s">
        <v>863</v>
      </c>
      <c r="B39" s="72">
        <v>15</v>
      </c>
    </row>
    <row r="40" spans="1:2" s="73" customFormat="1" ht="33" customHeight="1">
      <c r="A40" s="489" t="s">
        <v>864</v>
      </c>
      <c r="B40" s="72">
        <v>12</v>
      </c>
    </row>
    <row r="41" spans="1:2" s="73" customFormat="1" ht="44.25" customHeight="1">
      <c r="A41" s="489" t="s">
        <v>865</v>
      </c>
      <c r="B41" s="72">
        <v>4</v>
      </c>
    </row>
    <row r="42" spans="1:2" s="73" customFormat="1" ht="36.75" customHeight="1">
      <c r="A42" s="489" t="s">
        <v>869</v>
      </c>
      <c r="B42" s="72">
        <v>6</v>
      </c>
    </row>
    <row r="43" spans="1:2" s="73" customFormat="1" ht="33" customHeight="1">
      <c r="A43" s="489" t="s">
        <v>876</v>
      </c>
      <c r="B43" s="72">
        <v>6</v>
      </c>
    </row>
    <row r="44" spans="1:2" s="73" customFormat="1" ht="33" customHeight="1">
      <c r="A44" s="489" t="s">
        <v>1718</v>
      </c>
      <c r="B44" s="72">
        <v>1</v>
      </c>
    </row>
    <row r="45" spans="1:2" s="73" customFormat="1" ht="23.25" customHeight="1">
      <c r="A45" s="489" t="s">
        <v>870</v>
      </c>
      <c r="B45" s="72">
        <v>4</v>
      </c>
    </row>
    <row r="46" spans="1:2" s="73" customFormat="1" ht="22.5" customHeight="1">
      <c r="A46" s="489" t="s">
        <v>871</v>
      </c>
      <c r="B46" s="72">
        <v>4</v>
      </c>
    </row>
    <row r="47" spans="1:2" s="73" customFormat="1" ht="33" customHeight="1">
      <c r="A47" s="489" t="s">
        <v>872</v>
      </c>
      <c r="B47" s="72">
        <v>4</v>
      </c>
    </row>
    <row r="48" spans="1:2" s="73" customFormat="1" ht="33" customHeight="1">
      <c r="A48" s="489" t="s">
        <v>1720</v>
      </c>
      <c r="B48" s="72">
        <v>4</v>
      </c>
    </row>
    <row r="49" spans="1:2" s="73" customFormat="1" ht="33" customHeight="1">
      <c r="A49" s="489" t="s">
        <v>1722</v>
      </c>
      <c r="B49" s="72">
        <v>4</v>
      </c>
    </row>
    <row r="50" spans="1:2" s="73" customFormat="1" ht="22.5" customHeight="1">
      <c r="A50" s="489" t="s">
        <v>1723</v>
      </c>
      <c r="B50" s="72">
        <v>4</v>
      </c>
    </row>
    <row r="51" spans="1:2" s="73" customFormat="1" ht="27" customHeight="1">
      <c r="A51" s="489" t="s">
        <v>1724</v>
      </c>
      <c r="B51" s="72">
        <v>6</v>
      </c>
    </row>
    <row r="52" spans="1:2" s="73" customFormat="1" ht="27" customHeight="1">
      <c r="A52" s="489" t="s">
        <v>1725</v>
      </c>
      <c r="B52" s="72">
        <v>4</v>
      </c>
    </row>
    <row r="53" spans="1:2" s="73" customFormat="1" ht="27" customHeight="1">
      <c r="A53" s="489" t="s">
        <v>1726</v>
      </c>
      <c r="B53" s="72">
        <v>1.5</v>
      </c>
    </row>
    <row r="54" spans="1:2" s="73" customFormat="1" ht="27" customHeight="1">
      <c r="A54" s="489" t="s">
        <v>1727</v>
      </c>
      <c r="B54" s="72">
        <v>2</v>
      </c>
    </row>
    <row r="55" spans="1:2" s="73" customFormat="1" ht="15.75" customHeight="1">
      <c r="A55" s="489" t="s">
        <v>1728</v>
      </c>
      <c r="B55" s="72">
        <v>1.5</v>
      </c>
    </row>
    <row r="56" spans="1:2" s="73" customFormat="1" ht="25.5" customHeight="1">
      <c r="A56" s="489" t="s">
        <v>1729</v>
      </c>
      <c r="B56" s="72">
        <v>4</v>
      </c>
    </row>
    <row r="57" spans="1:2" s="73" customFormat="1" ht="25.5" customHeight="1">
      <c r="A57" s="489" t="s">
        <v>1732</v>
      </c>
      <c r="B57" s="72">
        <v>4</v>
      </c>
    </row>
    <row r="58" spans="1:2" s="73" customFormat="1" ht="25.5" customHeight="1">
      <c r="A58" s="489" t="s">
        <v>1733</v>
      </c>
      <c r="B58" s="72">
        <v>3</v>
      </c>
    </row>
    <row r="59" spans="1:2" s="73" customFormat="1" ht="25.5" customHeight="1">
      <c r="A59" s="489" t="s">
        <v>1734</v>
      </c>
      <c r="B59" s="72">
        <v>1.5</v>
      </c>
    </row>
    <row r="60" spans="1:2" s="73" customFormat="1" ht="25.5" customHeight="1">
      <c r="A60" s="489" t="s">
        <v>1735</v>
      </c>
      <c r="B60" s="72">
        <v>4</v>
      </c>
    </row>
    <row r="61" spans="1:2" ht="15" customHeight="1">
      <c r="A61" s="491" t="s">
        <v>102</v>
      </c>
      <c r="B61" s="72"/>
    </row>
    <row r="62" spans="1:2" s="73" customFormat="1" ht="21" customHeight="1">
      <c r="A62" s="400" t="s">
        <v>839</v>
      </c>
      <c r="B62" s="72">
        <v>1.5</v>
      </c>
    </row>
    <row r="63" spans="1:2" s="73" customFormat="1" ht="28.5">
      <c r="A63" s="400" t="s">
        <v>838</v>
      </c>
      <c r="B63" s="72">
        <v>2.5</v>
      </c>
    </row>
    <row r="64" spans="1:2" s="73" customFormat="1" ht="28.5">
      <c r="A64" s="400" t="s">
        <v>875</v>
      </c>
      <c r="B64" s="72">
        <v>1.5</v>
      </c>
    </row>
    <row r="65" spans="1:252" s="73" customFormat="1" ht="28.5">
      <c r="A65" s="400" t="s">
        <v>1721</v>
      </c>
      <c r="B65" s="72">
        <v>1.5</v>
      </c>
    </row>
    <row r="66" spans="1:252" s="73" customFormat="1" ht="23.25" customHeight="1">
      <c r="A66" s="400" t="s">
        <v>1731</v>
      </c>
      <c r="B66" s="72">
        <v>1</v>
      </c>
    </row>
    <row r="67" spans="1:252" s="73" customFormat="1" ht="23.25" customHeight="1">
      <c r="A67" s="400" t="s">
        <v>1737</v>
      </c>
      <c r="B67" s="72">
        <v>1</v>
      </c>
    </row>
    <row r="68" spans="1:252" ht="15.75" thickBot="1">
      <c r="A68" s="494" t="s">
        <v>104</v>
      </c>
      <c r="B68" s="72">
        <f>SUM(B6:B67)</f>
        <v>298</v>
      </c>
      <c r="C68">
        <f>93-9</f>
        <v>84</v>
      </c>
    </row>
    <row r="69" spans="1:252">
      <c r="A69" s="1"/>
      <c r="B69" s="73"/>
    </row>
    <row r="70" spans="1:252" s="179" customFormat="1" ht="43.5" customHeight="1">
      <c r="A70" s="447" t="s">
        <v>1630</v>
      </c>
      <c r="IR70"/>
    </row>
    <row r="71" spans="1:252">
      <c r="A71" s="180" t="s">
        <v>650</v>
      </c>
      <c r="B71" s="196">
        <v>728.2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79"/>
      <c r="FK71" s="179"/>
      <c r="FL71" s="179"/>
      <c r="FM71" s="179"/>
      <c r="FN71" s="179"/>
      <c r="FO71" s="179"/>
      <c r="FP71" s="179"/>
      <c r="FQ71" s="179"/>
      <c r="FR71" s="179"/>
      <c r="FS71" s="179"/>
      <c r="FT71" s="179"/>
      <c r="FU71" s="179"/>
      <c r="FV71" s="179"/>
      <c r="FW71" s="179"/>
      <c r="FX71" s="179"/>
      <c r="FY71" s="179"/>
      <c r="FZ71" s="179"/>
      <c r="GA71" s="179"/>
      <c r="GB71" s="179"/>
      <c r="GC71" s="179"/>
      <c r="GD71" s="179"/>
      <c r="GE71" s="179"/>
      <c r="GF71" s="179"/>
      <c r="GG71" s="179"/>
      <c r="GH71" s="179"/>
      <c r="GI71" s="179"/>
      <c r="GJ71" s="179"/>
      <c r="GK71" s="179"/>
      <c r="GL71" s="179"/>
      <c r="GM71" s="179"/>
      <c r="GN71" s="179"/>
      <c r="GO71" s="179"/>
      <c r="GP71" s="179"/>
      <c r="GQ71" s="179"/>
      <c r="GR71" s="179"/>
      <c r="GS71" s="179"/>
      <c r="GT71" s="179"/>
      <c r="GU71" s="179"/>
      <c r="GV71" s="179"/>
      <c r="GW71" s="179"/>
      <c r="GX71" s="179"/>
      <c r="GY71" s="179"/>
      <c r="GZ71" s="179"/>
      <c r="HA71" s="179"/>
      <c r="HB71" s="179"/>
      <c r="HC71" s="179"/>
      <c r="HD71" s="179"/>
      <c r="HE71" s="179"/>
      <c r="HF71" s="179"/>
      <c r="HG71" s="179"/>
      <c r="HH71" s="179"/>
      <c r="HI71" s="179"/>
      <c r="HJ71" s="179"/>
      <c r="HK71" s="179"/>
      <c r="HL71" s="179"/>
      <c r="HM71" s="179"/>
      <c r="HN71" s="179"/>
      <c r="HO71" s="179"/>
      <c r="HP71" s="179"/>
      <c r="HQ71" s="179"/>
      <c r="HR71" s="179"/>
      <c r="HS71" s="179"/>
      <c r="HT71" s="179"/>
      <c r="HU71" s="179"/>
      <c r="HV71" s="179"/>
      <c r="HW71" s="179"/>
      <c r="HX71" s="179"/>
      <c r="HY71" s="179"/>
      <c r="HZ71" s="179"/>
      <c r="IA71" s="179"/>
      <c r="IB71" s="179"/>
      <c r="IC71" s="179"/>
      <c r="ID71" s="179"/>
      <c r="IE71" s="179"/>
      <c r="IF71" s="179"/>
      <c r="IG71" s="179"/>
      <c r="IH71" s="179"/>
      <c r="II71" s="179"/>
      <c r="IJ71" s="179"/>
      <c r="IK71" s="179"/>
      <c r="IL71" s="179"/>
      <c r="IM71" s="179"/>
      <c r="IN71" s="179"/>
      <c r="IO71" s="179"/>
      <c r="IP71" s="179"/>
      <c r="IQ71" s="179"/>
    </row>
    <row r="72" spans="1:252">
      <c r="A72" s="180" t="s">
        <v>594</v>
      </c>
      <c r="B72" s="196">
        <v>30.24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79"/>
      <c r="FK72" s="179"/>
      <c r="FL72" s="179"/>
      <c r="FM72" s="179"/>
      <c r="FN72" s="179"/>
      <c r="FO72" s="179"/>
      <c r="FP72" s="179"/>
      <c r="FQ72" s="179"/>
      <c r="FR72" s="179"/>
      <c r="FS72" s="179"/>
      <c r="FT72" s="179"/>
      <c r="FU72" s="179"/>
      <c r="FV72" s="179"/>
      <c r="FW72" s="179"/>
      <c r="FX72" s="179"/>
      <c r="FY72" s="179"/>
      <c r="FZ72" s="179"/>
      <c r="GA72" s="179"/>
      <c r="GB72" s="179"/>
      <c r="GC72" s="179"/>
      <c r="GD72" s="179"/>
      <c r="GE72" s="179"/>
      <c r="GF72" s="179"/>
      <c r="GG72" s="179"/>
      <c r="GH72" s="179"/>
      <c r="GI72" s="179"/>
      <c r="GJ72" s="179"/>
      <c r="GK72" s="179"/>
      <c r="GL72" s="179"/>
      <c r="GM72" s="179"/>
      <c r="GN72" s="179"/>
      <c r="GO72" s="179"/>
      <c r="GP72" s="179"/>
      <c r="GQ72" s="179"/>
      <c r="GR72" s="179"/>
      <c r="GS72" s="179"/>
      <c r="GT72" s="179"/>
      <c r="GU72" s="179"/>
      <c r="GV72" s="179"/>
      <c r="GW72" s="179"/>
      <c r="GX72" s="179"/>
      <c r="GY72" s="179"/>
      <c r="GZ72" s="179"/>
      <c r="HA72" s="179"/>
      <c r="HB72" s="179"/>
      <c r="HC72" s="179"/>
      <c r="HD72" s="179"/>
      <c r="HE72" s="179"/>
      <c r="HF72" s="179"/>
      <c r="HG72" s="179"/>
      <c r="HH72" s="179"/>
      <c r="HI72" s="179"/>
      <c r="HJ72" s="179"/>
      <c r="HK72" s="179"/>
      <c r="HL72" s="179"/>
      <c r="HM72" s="179"/>
      <c r="HN72" s="179"/>
      <c r="HO72" s="179"/>
      <c r="HP72" s="179"/>
      <c r="HQ72" s="179"/>
      <c r="HR72" s="179"/>
      <c r="HS72" s="179"/>
      <c r="HT72" s="179"/>
      <c r="HU72" s="179"/>
      <c r="HV72" s="179"/>
      <c r="HW72" s="179"/>
      <c r="HX72" s="179"/>
      <c r="HY72" s="179"/>
      <c r="HZ72" s="179"/>
      <c r="IA72" s="179"/>
      <c r="IB72" s="179"/>
      <c r="IC72" s="179"/>
      <c r="ID72" s="179"/>
      <c r="IE72" s="179"/>
      <c r="IF72" s="179"/>
      <c r="IG72" s="179"/>
      <c r="IH72" s="179"/>
      <c r="II72" s="179"/>
      <c r="IJ72" s="179"/>
      <c r="IK72" s="179"/>
      <c r="IL72" s="179"/>
      <c r="IM72" s="179"/>
      <c r="IN72" s="179"/>
      <c r="IO72" s="179"/>
      <c r="IP72" s="179"/>
      <c r="IQ72" s="179"/>
    </row>
    <row r="73" spans="1:252" s="73" customFormat="1">
      <c r="A73" s="193" t="s">
        <v>711</v>
      </c>
      <c r="B73" s="193">
        <v>81285.77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230"/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0"/>
      <c r="DZ73" s="230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0"/>
      <c r="EM73" s="230"/>
      <c r="EN73" s="230"/>
      <c r="EO73" s="230"/>
      <c r="EP73" s="230"/>
      <c r="EQ73" s="230"/>
      <c r="ER73" s="230"/>
      <c r="ES73" s="230"/>
      <c r="ET73" s="230"/>
      <c r="EU73" s="230"/>
      <c r="EV73" s="230"/>
      <c r="EW73" s="230"/>
      <c r="EX73" s="230"/>
      <c r="EY73" s="230"/>
      <c r="EZ73" s="230"/>
      <c r="FA73" s="230"/>
      <c r="FB73" s="230"/>
      <c r="FC73" s="230"/>
      <c r="FD73" s="230"/>
      <c r="FE73" s="230"/>
      <c r="FF73" s="230"/>
      <c r="FG73" s="230"/>
      <c r="FH73" s="230"/>
      <c r="FI73" s="230"/>
      <c r="FJ73" s="230"/>
      <c r="FK73" s="230"/>
      <c r="FL73" s="230"/>
      <c r="FM73" s="230"/>
      <c r="FN73" s="230"/>
      <c r="FO73" s="230"/>
      <c r="FP73" s="230"/>
      <c r="FQ73" s="230"/>
      <c r="FR73" s="230"/>
      <c r="FS73" s="230"/>
      <c r="FT73" s="230"/>
      <c r="FU73" s="230"/>
      <c r="FV73" s="230"/>
      <c r="FW73" s="230"/>
      <c r="FX73" s="230"/>
      <c r="FY73" s="230"/>
      <c r="FZ73" s="230"/>
      <c r="GA73" s="230"/>
      <c r="GB73" s="230"/>
      <c r="GC73" s="230"/>
      <c r="GD73" s="230"/>
      <c r="GE73" s="230"/>
      <c r="GF73" s="230"/>
      <c r="GG73" s="230"/>
      <c r="GH73" s="230"/>
      <c r="GI73" s="230"/>
      <c r="GJ73" s="230"/>
      <c r="GK73" s="230"/>
      <c r="GL73" s="230"/>
      <c r="GM73" s="230"/>
      <c r="GN73" s="230"/>
      <c r="GO73" s="230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/>
      <c r="HC73" s="230"/>
      <c r="HD73" s="230"/>
      <c r="HE73" s="230"/>
      <c r="HF73" s="230"/>
      <c r="HG73" s="230"/>
      <c r="HH73" s="230"/>
      <c r="HI73" s="230"/>
      <c r="HJ73" s="230"/>
      <c r="HK73" s="230"/>
      <c r="HL73" s="230"/>
      <c r="HM73" s="230"/>
      <c r="HN73" s="230"/>
      <c r="HO73" s="230"/>
      <c r="HP73" s="230"/>
      <c r="HQ73" s="230"/>
      <c r="HR73" s="230"/>
      <c r="HS73" s="230"/>
      <c r="HT73" s="230"/>
      <c r="HU73" s="230"/>
      <c r="HV73" s="230"/>
      <c r="HW73" s="230"/>
      <c r="HX73" s="230"/>
      <c r="HY73" s="230"/>
      <c r="HZ73" s="230"/>
      <c r="IA73" s="230"/>
      <c r="IB73" s="230"/>
      <c r="IC73" s="230"/>
      <c r="ID73" s="230"/>
      <c r="IE73" s="230"/>
      <c r="IF73" s="230"/>
      <c r="IG73" s="230"/>
      <c r="IH73" s="230"/>
      <c r="II73" s="230"/>
      <c r="IJ73" s="230"/>
      <c r="IK73" s="230"/>
      <c r="IL73" s="230"/>
      <c r="IM73" s="230"/>
      <c r="IN73" s="230"/>
      <c r="IO73" s="230"/>
      <c r="IP73" s="230"/>
      <c r="IQ73" s="230"/>
    </row>
    <row r="74" spans="1:252" s="73" customFormat="1">
      <c r="A74" s="193" t="s">
        <v>1607</v>
      </c>
      <c r="B74" s="193">
        <v>264249.24</v>
      </c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230"/>
      <c r="CJ74" s="230"/>
      <c r="CK74" s="230"/>
      <c r="CL74" s="230"/>
      <c r="CM74" s="230"/>
      <c r="CN74" s="230"/>
      <c r="CO74" s="230"/>
      <c r="CP74" s="230"/>
      <c r="CQ74" s="230"/>
      <c r="CR74" s="230"/>
      <c r="CS74" s="230"/>
      <c r="CT74" s="230"/>
      <c r="CU74" s="230"/>
      <c r="CV74" s="230"/>
      <c r="CW74" s="230"/>
      <c r="CX74" s="230"/>
      <c r="CY74" s="230"/>
      <c r="CZ74" s="230"/>
      <c r="DA74" s="230"/>
      <c r="DB74" s="230"/>
      <c r="DC74" s="230"/>
      <c r="DD74" s="230"/>
      <c r="DE74" s="230"/>
      <c r="DF74" s="230"/>
      <c r="DG74" s="230"/>
      <c r="DH74" s="230"/>
      <c r="DI74" s="230"/>
      <c r="DJ74" s="230"/>
      <c r="DK74" s="230"/>
      <c r="DL74" s="230"/>
      <c r="DM74" s="230"/>
      <c r="DN74" s="230"/>
      <c r="DO74" s="230"/>
      <c r="DP74" s="230"/>
      <c r="DQ74" s="230"/>
      <c r="DR74" s="230"/>
      <c r="DS74" s="230"/>
      <c r="DT74" s="230"/>
      <c r="DU74" s="230"/>
      <c r="DV74" s="230"/>
      <c r="DW74" s="230"/>
      <c r="DX74" s="230"/>
      <c r="DY74" s="230"/>
      <c r="DZ74" s="230"/>
      <c r="EA74" s="230"/>
      <c r="EB74" s="230"/>
      <c r="EC74" s="230"/>
      <c r="ED74" s="230"/>
      <c r="EE74" s="230"/>
      <c r="EF74" s="230"/>
      <c r="EG74" s="230"/>
      <c r="EH74" s="230"/>
      <c r="EI74" s="230"/>
      <c r="EJ74" s="230"/>
      <c r="EK74" s="230"/>
      <c r="EL74" s="230"/>
      <c r="EM74" s="230"/>
      <c r="EN74" s="230"/>
      <c r="EO74" s="230"/>
      <c r="EP74" s="230"/>
      <c r="EQ74" s="230"/>
      <c r="ER74" s="230"/>
      <c r="ES74" s="230"/>
      <c r="ET74" s="230"/>
      <c r="EU74" s="230"/>
      <c r="EV74" s="230"/>
      <c r="EW74" s="230"/>
      <c r="EX74" s="230"/>
      <c r="EY74" s="230"/>
      <c r="EZ74" s="230"/>
      <c r="FA74" s="230"/>
      <c r="FB74" s="230"/>
      <c r="FC74" s="230"/>
      <c r="FD74" s="230"/>
      <c r="FE74" s="230"/>
      <c r="FF74" s="230"/>
      <c r="FG74" s="230"/>
      <c r="FH74" s="230"/>
      <c r="FI74" s="230"/>
      <c r="FJ74" s="230"/>
      <c r="FK74" s="230"/>
      <c r="FL74" s="230"/>
      <c r="FM74" s="230"/>
      <c r="FN74" s="230"/>
      <c r="FO74" s="230"/>
      <c r="FP74" s="230"/>
      <c r="FQ74" s="230"/>
      <c r="FR74" s="230"/>
      <c r="FS74" s="230"/>
      <c r="FT74" s="230"/>
      <c r="FU74" s="230"/>
      <c r="FV74" s="230"/>
      <c r="FW74" s="230"/>
      <c r="FX74" s="230"/>
      <c r="FY74" s="230"/>
      <c r="FZ74" s="230"/>
      <c r="GA74" s="230"/>
      <c r="GB74" s="230"/>
      <c r="GC74" s="230"/>
      <c r="GD74" s="230"/>
      <c r="GE74" s="230"/>
      <c r="GF74" s="230"/>
      <c r="GG74" s="230"/>
      <c r="GH74" s="230"/>
      <c r="GI74" s="230"/>
      <c r="GJ74" s="230"/>
      <c r="GK74" s="230"/>
      <c r="GL74" s="230"/>
      <c r="GM74" s="230"/>
      <c r="GN74" s="230"/>
      <c r="GO74" s="230"/>
      <c r="GP74" s="230"/>
      <c r="GQ74" s="230"/>
      <c r="GR74" s="230"/>
      <c r="GS74" s="230"/>
      <c r="GT74" s="230"/>
      <c r="GU74" s="230"/>
      <c r="GV74" s="230"/>
      <c r="GW74" s="230"/>
      <c r="GX74" s="230"/>
      <c r="GY74" s="230"/>
      <c r="GZ74" s="230"/>
      <c r="HA74" s="230"/>
      <c r="HB74" s="230"/>
      <c r="HC74" s="230"/>
      <c r="HD74" s="230"/>
      <c r="HE74" s="230"/>
      <c r="HF74" s="230"/>
      <c r="HG74" s="230"/>
      <c r="HH74" s="230"/>
      <c r="HI74" s="230"/>
      <c r="HJ74" s="230"/>
      <c r="HK74" s="230"/>
      <c r="HL74" s="230"/>
      <c r="HM74" s="230"/>
      <c r="HN74" s="230"/>
      <c r="HO74" s="230"/>
      <c r="HP74" s="230"/>
      <c r="HQ74" s="230"/>
      <c r="HR74" s="230"/>
      <c r="HS74" s="230"/>
      <c r="HT74" s="230"/>
      <c r="HU74" s="230"/>
      <c r="HV74" s="230"/>
      <c r="HW74" s="230"/>
      <c r="HX74" s="230"/>
      <c r="HY74" s="230"/>
      <c r="HZ74" s="230"/>
      <c r="IA74" s="230"/>
      <c r="IB74" s="230"/>
      <c r="IC74" s="230"/>
      <c r="ID74" s="230"/>
      <c r="IE74" s="230"/>
      <c r="IF74" s="230"/>
      <c r="IG74" s="230"/>
      <c r="IH74" s="230"/>
      <c r="II74" s="230"/>
      <c r="IJ74" s="230"/>
      <c r="IK74" s="230"/>
      <c r="IL74" s="230"/>
      <c r="IM74" s="230"/>
      <c r="IN74" s="230"/>
      <c r="IO74" s="230"/>
      <c r="IP74" s="230"/>
      <c r="IQ74" s="230"/>
    </row>
    <row r="75" spans="1:252" s="73" customFormat="1">
      <c r="A75" s="193" t="s">
        <v>1625</v>
      </c>
      <c r="B75" s="193">
        <f>1239.3+1702.02</f>
        <v>2941.3199999999997</v>
      </c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0"/>
      <c r="DZ75" s="230"/>
      <c r="EA75" s="230"/>
      <c r="EB75" s="230"/>
      <c r="EC75" s="230"/>
      <c r="ED75" s="230"/>
      <c r="EE75" s="230"/>
      <c r="EF75" s="230"/>
      <c r="EG75" s="230"/>
      <c r="EH75" s="230"/>
      <c r="EI75" s="230"/>
      <c r="EJ75" s="230"/>
      <c r="EK75" s="230"/>
      <c r="EL75" s="230"/>
      <c r="EM75" s="230"/>
      <c r="EN75" s="230"/>
      <c r="EO75" s="230"/>
      <c r="EP75" s="230"/>
      <c r="EQ75" s="230"/>
      <c r="ER75" s="230"/>
      <c r="ES75" s="230"/>
      <c r="ET75" s="230"/>
      <c r="EU75" s="230"/>
      <c r="EV75" s="230"/>
      <c r="EW75" s="230"/>
      <c r="EX75" s="230"/>
      <c r="EY75" s="230"/>
      <c r="EZ75" s="230"/>
      <c r="FA75" s="230"/>
      <c r="FB75" s="230"/>
      <c r="FC75" s="230"/>
      <c r="FD75" s="230"/>
      <c r="FE75" s="230"/>
      <c r="FF75" s="230"/>
      <c r="FG75" s="230"/>
      <c r="FH75" s="230"/>
      <c r="FI75" s="230"/>
      <c r="FJ75" s="230"/>
      <c r="FK75" s="230"/>
      <c r="FL75" s="230"/>
      <c r="FM75" s="230"/>
      <c r="FN75" s="230"/>
      <c r="FO75" s="230"/>
      <c r="FP75" s="230"/>
      <c r="FQ75" s="230"/>
      <c r="FR75" s="230"/>
      <c r="FS75" s="230"/>
      <c r="FT75" s="230"/>
      <c r="FU75" s="230"/>
      <c r="FV75" s="230"/>
      <c r="FW75" s="230"/>
      <c r="FX75" s="230"/>
      <c r="FY75" s="230"/>
      <c r="FZ75" s="230"/>
      <c r="GA75" s="230"/>
      <c r="GB75" s="230"/>
      <c r="GC75" s="230"/>
      <c r="GD75" s="230"/>
      <c r="GE75" s="230"/>
      <c r="GF75" s="230"/>
      <c r="GG75" s="230"/>
      <c r="GH75" s="230"/>
      <c r="GI75" s="230"/>
      <c r="GJ75" s="230"/>
      <c r="GK75" s="230"/>
      <c r="GL75" s="230"/>
      <c r="GM75" s="230"/>
      <c r="GN75" s="230"/>
      <c r="GO75" s="230"/>
      <c r="GP75" s="230"/>
      <c r="GQ75" s="230"/>
      <c r="GR75" s="230"/>
      <c r="GS75" s="230"/>
      <c r="GT75" s="230"/>
      <c r="GU75" s="230"/>
      <c r="GV75" s="230"/>
      <c r="GW75" s="230"/>
      <c r="GX75" s="230"/>
      <c r="GY75" s="230"/>
      <c r="GZ75" s="230"/>
      <c r="HA75" s="230"/>
      <c r="HB75" s="230"/>
      <c r="HC75" s="230"/>
      <c r="HD75" s="230"/>
      <c r="HE75" s="230"/>
      <c r="HF75" s="230"/>
      <c r="HG75" s="230"/>
      <c r="HH75" s="230"/>
      <c r="HI75" s="230"/>
      <c r="HJ75" s="230"/>
      <c r="HK75" s="230"/>
      <c r="HL75" s="230"/>
      <c r="HM75" s="230"/>
      <c r="HN75" s="230"/>
      <c r="HO75" s="230"/>
      <c r="HP75" s="230"/>
      <c r="HQ75" s="230"/>
      <c r="HR75" s="230"/>
      <c r="HS75" s="230"/>
      <c r="HT75" s="230"/>
      <c r="HU75" s="230"/>
      <c r="HV75" s="230"/>
      <c r="HW75" s="230"/>
      <c r="HX75" s="230"/>
      <c r="HY75" s="230"/>
      <c r="HZ75" s="230"/>
      <c r="IA75" s="230"/>
      <c r="IB75" s="230"/>
      <c r="IC75" s="230"/>
      <c r="ID75" s="230"/>
      <c r="IE75" s="230"/>
      <c r="IF75" s="230"/>
      <c r="IG75" s="230"/>
      <c r="IH75" s="230"/>
      <c r="II75" s="230"/>
      <c r="IJ75" s="230"/>
      <c r="IK75" s="230"/>
      <c r="IL75" s="230"/>
      <c r="IM75" s="230"/>
      <c r="IN75" s="230"/>
      <c r="IO75" s="230"/>
      <c r="IP75" s="230"/>
      <c r="IQ75" s="230"/>
    </row>
    <row r="76" spans="1:252" s="73" customFormat="1">
      <c r="A76" s="193" t="s">
        <v>1619</v>
      </c>
      <c r="B76" s="193">
        <v>4624.1099999999997</v>
      </c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0"/>
      <c r="EM76" s="230"/>
      <c r="EN76" s="230"/>
      <c r="EO76" s="230"/>
      <c r="EP76" s="230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30"/>
      <c r="FD76" s="230"/>
      <c r="FE76" s="230"/>
      <c r="FF76" s="230"/>
      <c r="FG76" s="230"/>
      <c r="FH76" s="230"/>
      <c r="FI76" s="230"/>
      <c r="FJ76" s="230"/>
      <c r="FK76" s="230"/>
      <c r="FL76" s="230"/>
      <c r="FM76" s="230"/>
      <c r="FN76" s="230"/>
      <c r="FO76" s="230"/>
      <c r="FP76" s="230"/>
      <c r="FQ76" s="230"/>
      <c r="FR76" s="230"/>
      <c r="FS76" s="230"/>
      <c r="FT76" s="230"/>
      <c r="FU76" s="230"/>
      <c r="FV76" s="230"/>
      <c r="FW76" s="230"/>
      <c r="FX76" s="230"/>
      <c r="FY76" s="230"/>
      <c r="FZ76" s="230"/>
      <c r="GA76" s="230"/>
      <c r="GB76" s="230"/>
      <c r="GC76" s="230"/>
      <c r="GD76" s="230"/>
      <c r="GE76" s="230"/>
      <c r="GF76" s="230"/>
      <c r="GG76" s="230"/>
      <c r="GH76" s="230"/>
      <c r="GI76" s="230"/>
      <c r="GJ76" s="230"/>
      <c r="GK76" s="230"/>
      <c r="GL76" s="230"/>
      <c r="GM76" s="230"/>
      <c r="GN76" s="230"/>
      <c r="GO76" s="230"/>
      <c r="GP76" s="230"/>
      <c r="GQ76" s="230"/>
      <c r="GR76" s="230"/>
      <c r="GS76" s="230"/>
      <c r="GT76" s="230"/>
      <c r="GU76" s="230"/>
      <c r="GV76" s="230"/>
      <c r="GW76" s="230"/>
      <c r="GX76" s="230"/>
      <c r="GY76" s="230"/>
      <c r="GZ76" s="230"/>
      <c r="HA76" s="230"/>
      <c r="HB76" s="230"/>
      <c r="HC76" s="230"/>
      <c r="HD76" s="230"/>
      <c r="HE76" s="230"/>
      <c r="HF76" s="230"/>
      <c r="HG76" s="230"/>
      <c r="HH76" s="230"/>
      <c r="HI76" s="230"/>
      <c r="HJ76" s="230"/>
      <c r="HK76" s="230"/>
      <c r="HL76" s="230"/>
      <c r="HM76" s="230"/>
      <c r="HN76" s="230"/>
      <c r="HO76" s="230"/>
      <c r="HP76" s="230"/>
      <c r="HQ76" s="230"/>
      <c r="HR76" s="230"/>
      <c r="HS76" s="230"/>
      <c r="HT76" s="230"/>
      <c r="HU76" s="230"/>
      <c r="HV76" s="230"/>
      <c r="HW76" s="230"/>
      <c r="HX76" s="230"/>
      <c r="HY76" s="230"/>
      <c r="HZ76" s="230"/>
      <c r="IA76" s="230"/>
      <c r="IB76" s="230"/>
      <c r="IC76" s="230"/>
      <c r="ID76" s="230"/>
      <c r="IE76" s="230"/>
      <c r="IF76" s="230"/>
      <c r="IG76" s="230"/>
      <c r="IH76" s="230"/>
      <c r="II76" s="230"/>
      <c r="IJ76" s="230"/>
      <c r="IK76" s="230"/>
      <c r="IL76" s="230"/>
      <c r="IM76" s="230"/>
      <c r="IN76" s="230"/>
      <c r="IO76" s="230"/>
      <c r="IP76" s="230"/>
      <c r="IQ76" s="230"/>
    </row>
    <row r="77" spans="1:252">
      <c r="A77" s="181" t="s">
        <v>1610</v>
      </c>
      <c r="B77" s="193">
        <f>B73+B74+B75-B78+B76</f>
        <v>230574.65000000002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9"/>
      <c r="EF77" s="179"/>
      <c r="EG77" s="179"/>
      <c r="EH77" s="179"/>
      <c r="EI77" s="179"/>
      <c r="EJ77" s="179"/>
      <c r="EK77" s="179"/>
      <c r="EL77" s="179"/>
      <c r="EM77" s="179"/>
      <c r="EN77" s="179"/>
      <c r="EO77" s="179"/>
      <c r="EP77" s="179"/>
      <c r="EQ77" s="179"/>
      <c r="ER77" s="179"/>
      <c r="ES77" s="179"/>
      <c r="ET77" s="179"/>
      <c r="EU77" s="179"/>
      <c r="EV77" s="179"/>
      <c r="EW77" s="179"/>
      <c r="EX77" s="179"/>
      <c r="EY77" s="179"/>
      <c r="EZ77" s="179"/>
      <c r="FA77" s="179"/>
      <c r="FB77" s="179"/>
      <c r="FC77" s="179"/>
      <c r="FD77" s="179"/>
      <c r="FE77" s="179"/>
      <c r="FF77" s="179"/>
      <c r="FG77" s="179"/>
      <c r="FH77" s="179"/>
      <c r="FI77" s="179"/>
      <c r="FJ77" s="179"/>
      <c r="FK77" s="179"/>
      <c r="FL77" s="179"/>
      <c r="FM77" s="179"/>
      <c r="FN77" s="179"/>
      <c r="FO77" s="179"/>
      <c r="FP77" s="179"/>
      <c r="FQ77" s="179"/>
      <c r="FR77" s="179"/>
      <c r="FS77" s="179"/>
      <c r="FT77" s="179"/>
      <c r="FU77" s="179"/>
      <c r="FV77" s="179"/>
      <c r="FW77" s="179"/>
      <c r="FX77" s="179"/>
      <c r="FY77" s="179"/>
      <c r="FZ77" s="179"/>
      <c r="GA77" s="179"/>
      <c r="GB77" s="179"/>
      <c r="GC77" s="179"/>
      <c r="GD77" s="179"/>
      <c r="GE77" s="179"/>
      <c r="GF77" s="179"/>
      <c r="GG77" s="179"/>
      <c r="GH77" s="179"/>
      <c r="GI77" s="179"/>
      <c r="GJ77" s="179"/>
      <c r="GK77" s="179"/>
      <c r="GL77" s="179"/>
      <c r="GM77" s="179"/>
      <c r="GN77" s="179"/>
      <c r="GO77" s="179"/>
      <c r="GP77" s="179"/>
      <c r="GQ77" s="179"/>
      <c r="GR77" s="179"/>
      <c r="GS77" s="179"/>
      <c r="GT77" s="179"/>
      <c r="GU77" s="179"/>
      <c r="GV77" s="179"/>
      <c r="GW77" s="179"/>
      <c r="GX77" s="179"/>
      <c r="GY77" s="179"/>
      <c r="GZ77" s="179"/>
      <c r="HA77" s="179"/>
      <c r="HB77" s="179"/>
      <c r="HC77" s="179"/>
      <c r="HD77" s="179"/>
      <c r="HE77" s="179"/>
      <c r="HF77" s="179"/>
      <c r="HG77" s="179"/>
      <c r="HH77" s="179"/>
      <c r="HI77" s="179"/>
      <c r="HJ77" s="179"/>
      <c r="HK77" s="179"/>
      <c r="HL77" s="179"/>
      <c r="HM77" s="179"/>
      <c r="HN77" s="179"/>
      <c r="HO77" s="179"/>
      <c r="HP77" s="179"/>
      <c r="HQ77" s="179"/>
      <c r="HR77" s="179"/>
      <c r="HS77" s="179"/>
      <c r="HT77" s="179"/>
      <c r="HU77" s="179"/>
      <c r="HV77" s="179"/>
      <c r="HW77" s="179"/>
      <c r="HX77" s="179"/>
      <c r="HY77" s="179"/>
      <c r="HZ77" s="179"/>
      <c r="IA77" s="179"/>
      <c r="IB77" s="179"/>
      <c r="IC77" s="179"/>
      <c r="ID77" s="179"/>
      <c r="IE77" s="179"/>
      <c r="IF77" s="179"/>
      <c r="IG77" s="179"/>
      <c r="IH77" s="179"/>
      <c r="II77" s="179"/>
      <c r="IJ77" s="179"/>
      <c r="IK77" s="179"/>
      <c r="IL77" s="179"/>
      <c r="IM77" s="179"/>
      <c r="IN77" s="179"/>
      <c r="IO77" s="179"/>
      <c r="IP77" s="179"/>
      <c r="IQ77" s="179"/>
    </row>
    <row r="78" spans="1:252" s="73" customFormat="1">
      <c r="A78" s="193" t="s">
        <v>1609</v>
      </c>
      <c r="B78" s="193">
        <v>122525.79</v>
      </c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/>
      <c r="CL78" s="230"/>
      <c r="CM78" s="230"/>
      <c r="CN78" s="230"/>
      <c r="CO78" s="230"/>
      <c r="CP78" s="230"/>
      <c r="CQ78" s="230"/>
      <c r="CR78" s="230"/>
      <c r="CS78" s="230"/>
      <c r="CT78" s="230"/>
      <c r="CU78" s="230"/>
      <c r="CV78" s="230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H78" s="230"/>
      <c r="DI78" s="230"/>
      <c r="DJ78" s="230"/>
      <c r="DK78" s="230"/>
      <c r="DL78" s="230"/>
      <c r="DM78" s="230"/>
      <c r="DN78" s="230"/>
      <c r="DO78" s="230"/>
      <c r="DP78" s="230"/>
      <c r="DQ78" s="230"/>
      <c r="DR78" s="230"/>
      <c r="DS78" s="230"/>
      <c r="DT78" s="230"/>
      <c r="DU78" s="230"/>
      <c r="DV78" s="230"/>
      <c r="DW78" s="230"/>
      <c r="DX78" s="230"/>
      <c r="DY78" s="230"/>
      <c r="DZ78" s="230"/>
      <c r="EA78" s="230"/>
      <c r="EB78" s="230"/>
      <c r="EC78" s="230"/>
      <c r="ED78" s="230"/>
      <c r="EE78" s="230"/>
      <c r="EF78" s="230"/>
      <c r="EG78" s="230"/>
      <c r="EH78" s="230"/>
      <c r="EI78" s="230"/>
      <c r="EJ78" s="230"/>
      <c r="EK78" s="230"/>
      <c r="EL78" s="230"/>
      <c r="EM78" s="230"/>
      <c r="EN78" s="230"/>
      <c r="EO78" s="230"/>
      <c r="EP78" s="230"/>
      <c r="EQ78" s="230"/>
      <c r="ER78" s="230"/>
      <c r="ES78" s="230"/>
      <c r="ET78" s="230"/>
      <c r="EU78" s="230"/>
      <c r="EV78" s="230"/>
      <c r="EW78" s="230"/>
      <c r="EX78" s="230"/>
      <c r="EY78" s="230"/>
      <c r="EZ78" s="230"/>
      <c r="FA78" s="230"/>
      <c r="FB78" s="230"/>
      <c r="FC78" s="230"/>
      <c r="FD78" s="230"/>
      <c r="FE78" s="230"/>
      <c r="FF78" s="230"/>
      <c r="FG78" s="230"/>
      <c r="FH78" s="230"/>
      <c r="FI78" s="230"/>
      <c r="FJ78" s="230"/>
      <c r="FK78" s="230"/>
      <c r="FL78" s="230"/>
      <c r="FM78" s="230"/>
      <c r="FN78" s="230"/>
      <c r="FO78" s="230"/>
      <c r="FP78" s="230"/>
      <c r="FQ78" s="230"/>
      <c r="FR78" s="230"/>
      <c r="FS78" s="230"/>
      <c r="FT78" s="230"/>
      <c r="FU78" s="230"/>
      <c r="FV78" s="230"/>
      <c r="FW78" s="230"/>
      <c r="FX78" s="230"/>
      <c r="FY78" s="230"/>
      <c r="FZ78" s="230"/>
      <c r="GA78" s="230"/>
      <c r="GB78" s="230"/>
      <c r="GC78" s="230"/>
      <c r="GD78" s="230"/>
      <c r="GE78" s="230"/>
      <c r="GF78" s="230"/>
      <c r="GG78" s="230"/>
      <c r="GH78" s="230"/>
      <c r="GI78" s="230"/>
      <c r="GJ78" s="230"/>
      <c r="GK78" s="230"/>
      <c r="GL78" s="230"/>
      <c r="GM78" s="230"/>
      <c r="GN78" s="230"/>
      <c r="GO78" s="230"/>
      <c r="GP78" s="230"/>
      <c r="GQ78" s="230"/>
      <c r="GR78" s="230"/>
      <c r="GS78" s="230"/>
      <c r="GT78" s="230"/>
      <c r="GU78" s="230"/>
      <c r="GV78" s="230"/>
      <c r="GW78" s="230"/>
      <c r="GX78" s="230"/>
      <c r="GY78" s="230"/>
      <c r="GZ78" s="230"/>
      <c r="HA78" s="230"/>
      <c r="HB78" s="230"/>
      <c r="HC78" s="230"/>
      <c r="HD78" s="230"/>
      <c r="HE78" s="230"/>
      <c r="HF78" s="230"/>
      <c r="HG78" s="230"/>
      <c r="HH78" s="230"/>
      <c r="HI78" s="230"/>
      <c r="HJ78" s="230"/>
      <c r="HK78" s="230"/>
      <c r="HL78" s="230"/>
      <c r="HM78" s="230"/>
      <c r="HN78" s="230"/>
      <c r="HO78" s="230"/>
      <c r="HP78" s="230"/>
      <c r="HQ78" s="230"/>
      <c r="HR78" s="230"/>
      <c r="HS78" s="230"/>
      <c r="HT78" s="230"/>
      <c r="HU78" s="230"/>
      <c r="HV78" s="230"/>
      <c r="HW78" s="230"/>
      <c r="HX78" s="230"/>
      <c r="HY78" s="230"/>
      <c r="HZ78" s="230"/>
      <c r="IA78" s="230"/>
      <c r="IB78" s="230"/>
      <c r="IC78" s="230"/>
      <c r="ID78" s="230"/>
      <c r="IE78" s="230"/>
      <c r="IF78" s="230"/>
      <c r="IG78" s="230"/>
      <c r="IH78" s="230"/>
      <c r="II78" s="230"/>
      <c r="IJ78" s="230"/>
      <c r="IK78" s="230"/>
      <c r="IL78" s="230"/>
      <c r="IM78" s="230"/>
      <c r="IN78" s="230"/>
      <c r="IO78" s="230"/>
      <c r="IP78" s="230"/>
      <c r="IQ78" s="230"/>
    </row>
    <row r="79" spans="1:252" s="73" customFormat="1" ht="22.5" customHeight="1">
      <c r="A79" s="234" t="s">
        <v>1604</v>
      </c>
      <c r="B79" s="196">
        <f>B77</f>
        <v>230574.65000000002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0"/>
      <c r="CH79" s="230"/>
      <c r="CI79" s="230"/>
      <c r="CJ79" s="230"/>
      <c r="CK79" s="230"/>
      <c r="CL79" s="230"/>
      <c r="CM79" s="230"/>
      <c r="CN79" s="230"/>
      <c r="CO79" s="230"/>
      <c r="CP79" s="230"/>
      <c r="CQ79" s="230"/>
      <c r="CR79" s="230"/>
      <c r="CS79" s="230"/>
      <c r="CT79" s="230"/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0"/>
      <c r="DI79" s="230"/>
      <c r="DJ79" s="230"/>
      <c r="DK79" s="230"/>
      <c r="DL79" s="230"/>
      <c r="DM79" s="230"/>
      <c r="DN79" s="230"/>
      <c r="DO79" s="230"/>
      <c r="DP79" s="230"/>
      <c r="DQ79" s="230"/>
      <c r="DR79" s="230"/>
      <c r="DS79" s="230"/>
      <c r="DT79" s="230"/>
      <c r="DU79" s="230"/>
      <c r="DV79" s="230"/>
      <c r="DW79" s="230"/>
      <c r="DX79" s="230"/>
      <c r="DY79" s="230"/>
      <c r="DZ79" s="230"/>
      <c r="EA79" s="230"/>
      <c r="EB79" s="230"/>
      <c r="EC79" s="230"/>
      <c r="ED79" s="230"/>
      <c r="EE79" s="230"/>
      <c r="EF79" s="230"/>
      <c r="EG79" s="230"/>
      <c r="EH79" s="230"/>
      <c r="EI79" s="230"/>
      <c r="EJ79" s="230"/>
      <c r="EK79" s="230"/>
      <c r="EL79" s="230"/>
      <c r="EM79" s="230"/>
      <c r="EN79" s="230"/>
      <c r="EO79" s="230"/>
      <c r="EP79" s="230"/>
      <c r="EQ79" s="230"/>
      <c r="ER79" s="230"/>
      <c r="ES79" s="230"/>
      <c r="ET79" s="230"/>
      <c r="EU79" s="230"/>
      <c r="EV79" s="230"/>
      <c r="EW79" s="230"/>
      <c r="EX79" s="230"/>
      <c r="EY79" s="230"/>
      <c r="EZ79" s="230"/>
      <c r="FA79" s="230"/>
      <c r="FB79" s="230"/>
      <c r="FC79" s="230"/>
      <c r="FD79" s="230"/>
      <c r="FE79" s="230"/>
      <c r="FF79" s="230"/>
      <c r="FG79" s="230"/>
      <c r="FH79" s="230"/>
      <c r="FI79" s="230"/>
      <c r="FJ79" s="230"/>
      <c r="FK79" s="230"/>
      <c r="FL79" s="230"/>
      <c r="FM79" s="230"/>
      <c r="FN79" s="230"/>
      <c r="FO79" s="230"/>
      <c r="FP79" s="230"/>
      <c r="FQ79" s="230"/>
      <c r="FR79" s="230"/>
      <c r="FS79" s="230"/>
      <c r="FT79" s="230"/>
      <c r="FU79" s="230"/>
      <c r="FV79" s="230"/>
      <c r="FW79" s="230"/>
      <c r="FX79" s="230"/>
      <c r="FY79" s="230"/>
      <c r="FZ79" s="230"/>
      <c r="GA79" s="230"/>
      <c r="GB79" s="230"/>
      <c r="GC79" s="230"/>
      <c r="GD79" s="230"/>
      <c r="GE79" s="230"/>
      <c r="GF79" s="230"/>
      <c r="GG79" s="230"/>
      <c r="GH79" s="230"/>
      <c r="GI79" s="230"/>
      <c r="GJ79" s="230"/>
      <c r="GK79" s="230"/>
      <c r="GL79" s="230"/>
      <c r="GM79" s="230"/>
      <c r="GN79" s="230"/>
      <c r="GO79" s="230"/>
      <c r="GP79" s="230"/>
      <c r="GQ79" s="230"/>
      <c r="GR79" s="230"/>
      <c r="GS79" s="230"/>
      <c r="GT79" s="230"/>
      <c r="GU79" s="230"/>
      <c r="GV79" s="230"/>
      <c r="GW79" s="230"/>
      <c r="GX79" s="230"/>
      <c r="GY79" s="230"/>
      <c r="GZ79" s="230"/>
      <c r="HA79" s="230"/>
      <c r="HB79" s="230"/>
      <c r="HC79" s="230"/>
      <c r="HD79" s="230"/>
      <c r="HE79" s="230"/>
      <c r="HF79" s="230"/>
      <c r="HG79" s="230"/>
      <c r="HH79" s="230"/>
      <c r="HI79" s="230"/>
      <c r="HJ79" s="230"/>
      <c r="HK79" s="230"/>
      <c r="HL79" s="230"/>
      <c r="HM79" s="230"/>
      <c r="HN79" s="230"/>
      <c r="HO79" s="230"/>
      <c r="HP79" s="230"/>
      <c r="HQ79" s="230"/>
      <c r="HR79" s="230"/>
      <c r="HS79" s="230"/>
      <c r="HT79" s="230"/>
      <c r="HU79" s="230"/>
      <c r="HV79" s="230"/>
      <c r="HW79" s="230"/>
      <c r="HX79" s="230"/>
      <c r="HY79" s="230"/>
      <c r="HZ79" s="230"/>
      <c r="IA79" s="230"/>
      <c r="IB79" s="230"/>
      <c r="IC79" s="230"/>
      <c r="ID79" s="230"/>
      <c r="IE79" s="230"/>
      <c r="IF79" s="230"/>
      <c r="IG79" s="230"/>
      <c r="IH79" s="230"/>
      <c r="II79" s="230"/>
      <c r="IJ79" s="230"/>
      <c r="IK79" s="230"/>
      <c r="IL79" s="230"/>
      <c r="IM79" s="230"/>
      <c r="IN79" s="230"/>
      <c r="IO79" s="230"/>
      <c r="IP79" s="230"/>
      <c r="IQ79" s="230"/>
    </row>
    <row r="80" spans="1:252">
      <c r="A80" s="179"/>
      <c r="B80" s="197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9"/>
      <c r="EF80" s="179"/>
      <c r="EG80" s="179"/>
      <c r="EH80" s="179"/>
      <c r="EI80" s="179"/>
      <c r="EJ80" s="179"/>
      <c r="EK80" s="179"/>
      <c r="EL80" s="179"/>
      <c r="EM80" s="179"/>
      <c r="EN80" s="179"/>
      <c r="EO80" s="179"/>
      <c r="EP80" s="179"/>
      <c r="EQ80" s="179"/>
      <c r="ER80" s="179"/>
      <c r="ES80" s="179"/>
      <c r="ET80" s="179"/>
      <c r="EU80" s="179"/>
      <c r="EV80" s="179"/>
      <c r="EW80" s="179"/>
      <c r="EX80" s="179"/>
      <c r="EY80" s="179"/>
      <c r="EZ80" s="179"/>
      <c r="FA80" s="179"/>
      <c r="FB80" s="179"/>
      <c r="FC80" s="179"/>
      <c r="FD80" s="179"/>
      <c r="FE80" s="179"/>
      <c r="FF80" s="179"/>
      <c r="FG80" s="179"/>
      <c r="FH80" s="179"/>
      <c r="FI80" s="179"/>
      <c r="FJ80" s="179"/>
      <c r="FK80" s="179"/>
      <c r="FL80" s="179"/>
      <c r="FM80" s="179"/>
      <c r="FN80" s="179"/>
      <c r="FO80" s="179"/>
      <c r="FP80" s="179"/>
      <c r="FQ80" s="179"/>
      <c r="FR80" s="179"/>
      <c r="FS80" s="179"/>
      <c r="FT80" s="179"/>
      <c r="FU80" s="179"/>
      <c r="FV80" s="179"/>
      <c r="FW80" s="179"/>
      <c r="FX80" s="179"/>
      <c r="FY80" s="179"/>
      <c r="FZ80" s="179"/>
      <c r="GA80" s="179"/>
      <c r="GB80" s="179"/>
      <c r="GC80" s="179"/>
      <c r="GD80" s="179"/>
      <c r="GE80" s="179"/>
      <c r="GF80" s="179"/>
      <c r="GG80" s="179"/>
      <c r="GH80" s="179"/>
      <c r="GI80" s="179"/>
      <c r="GJ80" s="179"/>
      <c r="GK80" s="179"/>
      <c r="GL80" s="179"/>
      <c r="GM80" s="179"/>
      <c r="GN80" s="179"/>
      <c r="GO80" s="179"/>
      <c r="GP80" s="179"/>
      <c r="GQ80" s="179"/>
      <c r="GR80" s="179"/>
      <c r="GS80" s="179"/>
      <c r="GT80" s="179"/>
      <c r="GU80" s="179"/>
      <c r="GV80" s="179"/>
      <c r="GW80" s="179"/>
      <c r="GX80" s="179"/>
      <c r="GY80" s="179"/>
      <c r="GZ80" s="179"/>
      <c r="HA80" s="179"/>
      <c r="HB80" s="179"/>
      <c r="HC80" s="179"/>
      <c r="HD80" s="179"/>
      <c r="HE80" s="179"/>
      <c r="HF80" s="179"/>
      <c r="HG80" s="179"/>
      <c r="HH80" s="179"/>
      <c r="HI80" s="179"/>
      <c r="HJ80" s="179"/>
      <c r="HK80" s="179"/>
      <c r="HL80" s="179"/>
      <c r="HM80" s="179"/>
      <c r="HN80" s="179"/>
      <c r="HO80" s="179"/>
      <c r="HP80" s="179"/>
      <c r="HQ80" s="179"/>
      <c r="HR80" s="179"/>
      <c r="HS80" s="179"/>
      <c r="HT80" s="179"/>
      <c r="HU80" s="179"/>
      <c r="HV80" s="179"/>
      <c r="HW80" s="179"/>
      <c r="HX80" s="179"/>
      <c r="HY80" s="179"/>
      <c r="HZ80" s="179"/>
      <c r="IA80" s="179"/>
      <c r="IB80" s="179"/>
      <c r="IC80" s="179"/>
      <c r="ID80" s="179"/>
      <c r="IE80" s="179"/>
      <c r="IF80" s="179"/>
      <c r="IG80" s="179"/>
      <c r="IH80" s="179"/>
      <c r="II80" s="179"/>
      <c r="IJ80" s="179"/>
      <c r="IK80" s="179"/>
      <c r="IL80" s="179"/>
      <c r="IM80" s="179"/>
      <c r="IN80" s="179"/>
      <c r="IO80" s="179"/>
      <c r="IP80" s="179"/>
      <c r="IQ80" s="179"/>
    </row>
    <row r="81" spans="1:251">
      <c r="A81" s="180" t="s">
        <v>1606</v>
      </c>
      <c r="B81" s="198">
        <f>B83+B86+B88+B89+B91+B93+B94+B84+B92+B87+B85</f>
        <v>286454.46711815603</v>
      </c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  <c r="FF81" s="179"/>
      <c r="FG81" s="179"/>
      <c r="FH81" s="179"/>
      <c r="FI81" s="179"/>
      <c r="FJ81" s="179"/>
      <c r="FK81" s="179"/>
      <c r="FL81" s="179"/>
      <c r="FM81" s="179"/>
      <c r="FN81" s="179"/>
      <c r="FO81" s="179"/>
      <c r="FP81" s="179"/>
      <c r="FQ81" s="179"/>
      <c r="FR81" s="179"/>
      <c r="FS81" s="179"/>
      <c r="FT81" s="179"/>
      <c r="FU81" s="179"/>
      <c r="FV81" s="179"/>
      <c r="FW81" s="179"/>
      <c r="FX81" s="179"/>
      <c r="FY81" s="179"/>
      <c r="FZ81" s="179"/>
      <c r="GA81" s="179"/>
      <c r="GB81" s="179"/>
      <c r="GC81" s="179"/>
      <c r="GD81" s="179"/>
      <c r="GE81" s="179"/>
      <c r="GF81" s="179"/>
      <c r="GG81" s="179"/>
      <c r="GH81" s="179"/>
      <c r="GI81" s="179"/>
      <c r="GJ81" s="179"/>
      <c r="GK81" s="179"/>
      <c r="GL81" s="179"/>
      <c r="GM81" s="179"/>
      <c r="GN81" s="179"/>
      <c r="GO81" s="179"/>
      <c r="GP81" s="179"/>
      <c r="GQ81" s="179"/>
      <c r="GR81" s="179"/>
      <c r="GS81" s="179"/>
      <c r="GT81" s="179"/>
      <c r="GU81" s="179"/>
      <c r="GV81" s="179"/>
      <c r="GW81" s="179"/>
      <c r="GX81" s="179"/>
      <c r="GY81" s="179"/>
      <c r="GZ81" s="179"/>
      <c r="HA81" s="179"/>
      <c r="HB81" s="179"/>
      <c r="HC81" s="179"/>
      <c r="HD81" s="179"/>
      <c r="HE81" s="179"/>
      <c r="HF81" s="179"/>
      <c r="HG81" s="179"/>
      <c r="HH81" s="179"/>
      <c r="HI81" s="179"/>
      <c r="HJ81" s="179"/>
      <c r="HK81" s="179"/>
      <c r="HL81" s="179"/>
      <c r="HM81" s="179"/>
      <c r="HN81" s="179"/>
      <c r="HO81" s="179"/>
      <c r="HP81" s="179"/>
      <c r="HQ81" s="179"/>
      <c r="HR81" s="179"/>
      <c r="HS81" s="179"/>
      <c r="HT81" s="179"/>
      <c r="HU81" s="179"/>
      <c r="HV81" s="179"/>
      <c r="HW81" s="179"/>
      <c r="HX81" s="179"/>
      <c r="HY81" s="179"/>
      <c r="HZ81" s="179"/>
      <c r="IA81" s="179"/>
      <c r="IB81" s="179"/>
      <c r="IC81" s="179"/>
      <c r="ID81" s="179"/>
      <c r="IE81" s="179"/>
      <c r="IF81" s="179"/>
      <c r="IG81" s="179"/>
      <c r="IH81" s="179"/>
      <c r="II81" s="179"/>
      <c r="IJ81" s="179"/>
      <c r="IK81" s="179"/>
      <c r="IL81" s="179"/>
      <c r="IM81" s="179"/>
      <c r="IN81" s="179"/>
      <c r="IO81" s="179"/>
      <c r="IP81" s="179"/>
      <c r="IQ81" s="179"/>
    </row>
    <row r="82" spans="1:251">
      <c r="A82" s="181" t="s">
        <v>599</v>
      </c>
      <c r="B82" s="193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79"/>
      <c r="EM82" s="179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79"/>
      <c r="FB82" s="179"/>
      <c r="FC82" s="179"/>
      <c r="FD82" s="179"/>
      <c r="FE82" s="179"/>
      <c r="FF82" s="179"/>
      <c r="FG82" s="179"/>
      <c r="FH82" s="179"/>
      <c r="FI82" s="179"/>
      <c r="FJ82" s="179"/>
      <c r="FK82" s="179"/>
      <c r="FL82" s="179"/>
      <c r="FM82" s="179"/>
      <c r="FN82" s="179"/>
      <c r="FO82" s="179"/>
      <c r="FP82" s="179"/>
      <c r="FQ82" s="179"/>
      <c r="FR82" s="179"/>
      <c r="FS82" s="179"/>
      <c r="FT82" s="179"/>
      <c r="FU82" s="179"/>
      <c r="FV82" s="179"/>
      <c r="FW82" s="179"/>
      <c r="FX82" s="179"/>
      <c r="FY82" s="179"/>
      <c r="FZ82" s="179"/>
      <c r="GA82" s="179"/>
      <c r="GB82" s="179"/>
      <c r="GC82" s="179"/>
      <c r="GD82" s="179"/>
      <c r="GE82" s="179"/>
      <c r="GF82" s="179"/>
      <c r="GG82" s="179"/>
      <c r="GH82" s="179"/>
      <c r="GI82" s="179"/>
      <c r="GJ82" s="179"/>
      <c r="GK82" s="179"/>
      <c r="GL82" s="179"/>
      <c r="GM82" s="179"/>
      <c r="GN82" s="179"/>
      <c r="GO82" s="179"/>
      <c r="GP82" s="179"/>
      <c r="GQ82" s="179"/>
      <c r="GR82" s="179"/>
      <c r="GS82" s="179"/>
      <c r="GT82" s="179"/>
      <c r="GU82" s="179"/>
      <c r="GV82" s="179"/>
      <c r="GW82" s="179"/>
      <c r="GX82" s="179"/>
      <c r="GY82" s="179"/>
      <c r="GZ82" s="179"/>
      <c r="HA82" s="179"/>
      <c r="HB82" s="179"/>
      <c r="HC82" s="179"/>
      <c r="HD82" s="179"/>
      <c r="HE82" s="179"/>
      <c r="HF82" s="179"/>
      <c r="HG82" s="179"/>
      <c r="HH82" s="179"/>
      <c r="HI82" s="179"/>
      <c r="HJ82" s="179"/>
      <c r="HK82" s="179"/>
      <c r="HL82" s="179"/>
      <c r="HM82" s="179"/>
      <c r="HN82" s="179"/>
      <c r="HO82" s="179"/>
      <c r="HP82" s="179"/>
      <c r="HQ82" s="179"/>
      <c r="HR82" s="179"/>
      <c r="HS82" s="179"/>
      <c r="HT82" s="179"/>
      <c r="HU82" s="179"/>
      <c r="HV82" s="179"/>
      <c r="HW82" s="179"/>
      <c r="HX82" s="179"/>
      <c r="HY82" s="179"/>
      <c r="HZ82" s="179"/>
      <c r="IA82" s="179"/>
      <c r="IB82" s="179"/>
      <c r="IC82" s="179"/>
      <c r="ID82" s="179"/>
      <c r="IE82" s="179"/>
      <c r="IF82" s="179"/>
      <c r="IG82" s="179"/>
      <c r="IH82" s="179"/>
      <c r="II82" s="179"/>
      <c r="IJ82" s="179"/>
      <c r="IK82" s="179"/>
      <c r="IL82" s="179"/>
      <c r="IM82" s="179"/>
      <c r="IN82" s="179"/>
      <c r="IO82" s="179"/>
      <c r="IP82" s="179"/>
      <c r="IQ82" s="179"/>
    </row>
    <row r="83" spans="1:251" s="73" customFormat="1">
      <c r="A83" s="193" t="s">
        <v>521</v>
      </c>
      <c r="B83" s="194">
        <f>959300/45797.5*B71*1.25</f>
        <v>19066.604618156012</v>
      </c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30"/>
      <c r="CO83" s="230"/>
      <c r="CP83" s="230"/>
      <c r="CQ83" s="230"/>
      <c r="CR83" s="230"/>
      <c r="CS83" s="230"/>
      <c r="CT83" s="230"/>
      <c r="CU83" s="230"/>
      <c r="CV83" s="230"/>
      <c r="CW83" s="230"/>
      <c r="CX83" s="230"/>
      <c r="CY83" s="230"/>
      <c r="CZ83" s="230"/>
      <c r="DA83" s="230"/>
      <c r="DB83" s="230"/>
      <c r="DC83" s="230"/>
      <c r="DD83" s="230"/>
      <c r="DE83" s="230"/>
      <c r="DF83" s="230"/>
      <c r="DG83" s="230"/>
      <c r="DH83" s="230"/>
      <c r="DI83" s="230"/>
      <c r="DJ83" s="230"/>
      <c r="DK83" s="230"/>
      <c r="DL83" s="230"/>
      <c r="DM83" s="230"/>
      <c r="DN83" s="230"/>
      <c r="DO83" s="230"/>
      <c r="DP83" s="230"/>
      <c r="DQ83" s="230"/>
      <c r="DR83" s="230"/>
      <c r="DS83" s="230"/>
      <c r="DT83" s="230"/>
      <c r="DU83" s="230"/>
      <c r="DV83" s="230"/>
      <c r="DW83" s="230"/>
      <c r="DX83" s="230"/>
      <c r="DY83" s="230"/>
      <c r="DZ83" s="230"/>
      <c r="EA83" s="230"/>
      <c r="EB83" s="230"/>
      <c r="EC83" s="230"/>
      <c r="ED83" s="230"/>
      <c r="EE83" s="230"/>
      <c r="EF83" s="230"/>
      <c r="EG83" s="230"/>
      <c r="EH83" s="230"/>
      <c r="EI83" s="230"/>
      <c r="EJ83" s="230"/>
      <c r="EK83" s="230"/>
      <c r="EL83" s="230"/>
      <c r="EM83" s="230"/>
      <c r="EN83" s="230"/>
      <c r="EO83" s="230"/>
      <c r="EP83" s="230"/>
      <c r="EQ83" s="230"/>
      <c r="ER83" s="230"/>
      <c r="ES83" s="230"/>
      <c r="ET83" s="230"/>
      <c r="EU83" s="230"/>
      <c r="EV83" s="230"/>
      <c r="EW83" s="230"/>
      <c r="EX83" s="230"/>
      <c r="EY83" s="230"/>
      <c r="EZ83" s="230"/>
      <c r="FA83" s="230"/>
      <c r="FB83" s="230"/>
      <c r="FC83" s="230"/>
      <c r="FD83" s="230"/>
      <c r="FE83" s="230"/>
      <c r="FF83" s="230"/>
      <c r="FG83" s="230"/>
      <c r="FH83" s="230"/>
      <c r="FI83" s="230"/>
      <c r="FJ83" s="230"/>
      <c r="FK83" s="230"/>
      <c r="FL83" s="230"/>
      <c r="FM83" s="230"/>
      <c r="FN83" s="230"/>
      <c r="FO83" s="230"/>
      <c r="FP83" s="230"/>
      <c r="FQ83" s="230"/>
      <c r="FR83" s="230"/>
      <c r="FS83" s="230"/>
      <c r="FT83" s="230"/>
      <c r="FU83" s="230"/>
      <c r="FV83" s="230"/>
      <c r="FW83" s="230"/>
      <c r="FX83" s="230"/>
      <c r="FY83" s="230"/>
      <c r="FZ83" s="230"/>
      <c r="GA83" s="230"/>
      <c r="GB83" s="230"/>
      <c r="GC83" s="230"/>
      <c r="GD83" s="230"/>
      <c r="GE83" s="230"/>
      <c r="GF83" s="230"/>
      <c r="GG83" s="230"/>
      <c r="GH83" s="230"/>
      <c r="GI83" s="230"/>
      <c r="GJ83" s="230"/>
      <c r="GK83" s="230"/>
      <c r="GL83" s="230"/>
      <c r="GM83" s="230"/>
      <c r="GN83" s="230"/>
      <c r="GO83" s="230"/>
      <c r="GP83" s="230"/>
      <c r="GQ83" s="230"/>
      <c r="GR83" s="230"/>
      <c r="GS83" s="230"/>
      <c r="GT83" s="230"/>
      <c r="GU83" s="230"/>
      <c r="GV83" s="230"/>
      <c r="GW83" s="230"/>
      <c r="GX83" s="230"/>
      <c r="GY83" s="230"/>
      <c r="GZ83" s="230"/>
      <c r="HA83" s="230"/>
      <c r="HB83" s="230"/>
      <c r="HC83" s="230"/>
      <c r="HD83" s="230"/>
      <c r="HE83" s="230"/>
      <c r="HF83" s="230"/>
      <c r="HG83" s="230"/>
      <c r="HH83" s="230"/>
      <c r="HI83" s="230"/>
      <c r="HJ83" s="230"/>
      <c r="HK83" s="230"/>
      <c r="HL83" s="230"/>
      <c r="HM83" s="230"/>
      <c r="HN83" s="230"/>
      <c r="HO83" s="230"/>
      <c r="HP83" s="230"/>
      <c r="HQ83" s="230"/>
      <c r="HR83" s="230"/>
      <c r="HS83" s="230"/>
      <c r="HT83" s="230"/>
      <c r="HU83" s="230"/>
      <c r="HV83" s="230"/>
      <c r="HW83" s="230"/>
      <c r="HX83" s="230"/>
      <c r="HY83" s="230"/>
      <c r="HZ83" s="230"/>
      <c r="IA83" s="230"/>
      <c r="IB83" s="230"/>
      <c r="IC83" s="230"/>
      <c r="ID83" s="230"/>
      <c r="IE83" s="230"/>
      <c r="IF83" s="230"/>
      <c r="IG83" s="230"/>
      <c r="IH83" s="230"/>
      <c r="II83" s="230"/>
      <c r="IJ83" s="230"/>
      <c r="IK83" s="230"/>
      <c r="IL83" s="230"/>
      <c r="IM83" s="230"/>
      <c r="IN83" s="230"/>
      <c r="IO83" s="230"/>
      <c r="IP83" s="230"/>
      <c r="IQ83" s="230"/>
    </row>
    <row r="84" spans="1:251" s="73" customFormat="1">
      <c r="A84" s="193" t="s">
        <v>1570</v>
      </c>
      <c r="B84" s="194">
        <f>(238322-120005.88)*1.25</f>
        <v>147895.15</v>
      </c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0"/>
      <c r="DI84" s="230"/>
      <c r="DJ84" s="230"/>
      <c r="DK84" s="230"/>
      <c r="DL84" s="230"/>
      <c r="DM84" s="230"/>
      <c r="DN84" s="230"/>
      <c r="DO84" s="230"/>
      <c r="DP84" s="230"/>
      <c r="DQ84" s="230"/>
      <c r="DR84" s="230"/>
      <c r="DS84" s="230"/>
      <c r="DT84" s="230"/>
      <c r="DU84" s="230"/>
      <c r="DV84" s="230"/>
      <c r="DW84" s="230"/>
      <c r="DX84" s="230"/>
      <c r="DY84" s="230"/>
      <c r="DZ84" s="230"/>
      <c r="EA84" s="230"/>
      <c r="EB84" s="230"/>
      <c r="EC84" s="230"/>
      <c r="ED84" s="230"/>
      <c r="EE84" s="230"/>
      <c r="EF84" s="230"/>
      <c r="EG84" s="230"/>
      <c r="EH84" s="230"/>
      <c r="EI84" s="230"/>
      <c r="EJ84" s="230"/>
      <c r="EK84" s="230"/>
      <c r="EL84" s="230"/>
      <c r="EM84" s="230"/>
      <c r="EN84" s="230"/>
      <c r="EO84" s="230"/>
      <c r="EP84" s="230"/>
      <c r="EQ84" s="230"/>
      <c r="ER84" s="230"/>
      <c r="ES84" s="230"/>
      <c r="ET84" s="230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0"/>
      <c r="FF84" s="230"/>
      <c r="FG84" s="230"/>
      <c r="FH84" s="230"/>
      <c r="FI84" s="230"/>
      <c r="FJ84" s="230"/>
      <c r="FK84" s="230"/>
      <c r="FL84" s="230"/>
      <c r="FM84" s="230"/>
      <c r="FN84" s="230"/>
      <c r="FO84" s="230"/>
      <c r="FP84" s="230"/>
      <c r="FQ84" s="230"/>
      <c r="FR84" s="230"/>
      <c r="FS84" s="230"/>
      <c r="FT84" s="230"/>
      <c r="FU84" s="230"/>
      <c r="FV84" s="230"/>
      <c r="FW84" s="230"/>
      <c r="FX84" s="230"/>
      <c r="FY84" s="230"/>
      <c r="FZ84" s="230"/>
      <c r="GA84" s="230"/>
      <c r="GB84" s="230"/>
      <c r="GC84" s="230"/>
      <c r="GD84" s="230"/>
      <c r="GE84" s="230"/>
      <c r="GF84" s="230"/>
      <c r="GG84" s="230"/>
      <c r="GH84" s="230"/>
      <c r="GI84" s="230"/>
      <c r="GJ84" s="230"/>
      <c r="GK84" s="230"/>
      <c r="GL84" s="230"/>
      <c r="GM84" s="230"/>
      <c r="GN84" s="230"/>
      <c r="GO84" s="230"/>
      <c r="GP84" s="230"/>
      <c r="GQ84" s="230"/>
      <c r="GR84" s="230"/>
      <c r="GS84" s="230"/>
      <c r="GT84" s="230"/>
      <c r="GU84" s="230"/>
      <c r="GV84" s="230"/>
      <c r="GW84" s="230"/>
      <c r="GX84" s="230"/>
      <c r="GY84" s="230"/>
      <c r="GZ84" s="230"/>
      <c r="HA84" s="230"/>
      <c r="HB84" s="230"/>
      <c r="HC84" s="230"/>
      <c r="HD84" s="230"/>
      <c r="HE84" s="230"/>
      <c r="HF84" s="230"/>
      <c r="HG84" s="230"/>
      <c r="HH84" s="230"/>
      <c r="HI84" s="230"/>
      <c r="HJ84" s="230"/>
      <c r="HK84" s="230"/>
      <c r="HL84" s="230"/>
      <c r="HM84" s="230"/>
      <c r="HN84" s="230"/>
      <c r="HO84" s="230"/>
      <c r="HP84" s="230"/>
      <c r="HQ84" s="230"/>
      <c r="HR84" s="230"/>
      <c r="HS84" s="230"/>
      <c r="HT84" s="230"/>
      <c r="HU84" s="230"/>
      <c r="HV84" s="230"/>
      <c r="HW84" s="230"/>
      <c r="HX84" s="230"/>
      <c r="HY84" s="230"/>
      <c r="HZ84" s="230"/>
      <c r="IA84" s="230"/>
      <c r="IB84" s="230"/>
      <c r="IC84" s="230"/>
      <c r="ID84" s="230"/>
      <c r="IE84" s="230"/>
      <c r="IF84" s="230"/>
      <c r="IG84" s="230"/>
      <c r="IH84" s="230"/>
      <c r="II84" s="230"/>
      <c r="IJ84" s="230"/>
      <c r="IK84" s="230"/>
      <c r="IL84" s="230"/>
      <c r="IM84" s="230"/>
      <c r="IN84" s="230"/>
      <c r="IO84" s="230"/>
      <c r="IP84" s="230"/>
      <c r="IQ84" s="230"/>
    </row>
    <row r="85" spans="1:251" s="73" customFormat="1">
      <c r="A85" s="193" t="s">
        <v>987</v>
      </c>
      <c r="B85" s="194">
        <f>0.31*B71*12*1.25</f>
        <v>3386.1300000000006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DJ85" s="230"/>
      <c r="DK85" s="230"/>
      <c r="DL85" s="230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30"/>
      <c r="DX85" s="230"/>
      <c r="DY85" s="230"/>
      <c r="DZ85" s="230"/>
      <c r="EA85" s="230"/>
      <c r="EB85" s="230"/>
      <c r="EC85" s="230"/>
      <c r="ED85" s="230"/>
      <c r="EE85" s="230"/>
      <c r="EF85" s="230"/>
      <c r="EG85" s="230"/>
      <c r="EH85" s="230"/>
      <c r="EI85" s="230"/>
      <c r="EJ85" s="230"/>
      <c r="EK85" s="230"/>
      <c r="EL85" s="230"/>
      <c r="EM85" s="230"/>
      <c r="EN85" s="230"/>
      <c r="EO85" s="230"/>
      <c r="EP85" s="230"/>
      <c r="EQ85" s="230"/>
      <c r="ER85" s="230"/>
      <c r="ES85" s="230"/>
      <c r="ET85" s="230"/>
      <c r="EU85" s="230"/>
      <c r="EV85" s="230"/>
      <c r="EW85" s="230"/>
      <c r="EX85" s="230"/>
      <c r="EY85" s="230"/>
      <c r="EZ85" s="230"/>
      <c r="FA85" s="230"/>
      <c r="FB85" s="230"/>
      <c r="FC85" s="230"/>
      <c r="FD85" s="230"/>
      <c r="FE85" s="230"/>
      <c r="FF85" s="230"/>
      <c r="FG85" s="230"/>
      <c r="FH85" s="230"/>
      <c r="FI85" s="230"/>
      <c r="FJ85" s="230"/>
      <c r="FK85" s="230"/>
      <c r="FL85" s="230"/>
      <c r="FM85" s="230"/>
      <c r="FN85" s="230"/>
      <c r="FO85" s="230"/>
      <c r="FP85" s="230"/>
      <c r="FQ85" s="230"/>
      <c r="FR85" s="230"/>
      <c r="FS85" s="230"/>
      <c r="FT85" s="230"/>
      <c r="FU85" s="230"/>
      <c r="FV85" s="230"/>
      <c r="FW85" s="230"/>
      <c r="FX85" s="230"/>
      <c r="FY85" s="230"/>
      <c r="FZ85" s="230"/>
      <c r="GA85" s="230"/>
      <c r="GB85" s="230"/>
      <c r="GC85" s="230"/>
      <c r="GD85" s="230"/>
      <c r="GE85" s="230"/>
      <c r="GF85" s="230"/>
      <c r="GG85" s="230"/>
      <c r="GH85" s="230"/>
      <c r="GI85" s="230"/>
      <c r="GJ85" s="230"/>
      <c r="GK85" s="230"/>
      <c r="GL85" s="230"/>
      <c r="GM85" s="230"/>
      <c r="GN85" s="230"/>
      <c r="GO85" s="230"/>
      <c r="GP85" s="230"/>
      <c r="GQ85" s="230"/>
      <c r="GR85" s="230"/>
      <c r="GS85" s="230"/>
      <c r="GT85" s="230"/>
      <c r="GU85" s="230"/>
      <c r="GV85" s="230"/>
      <c r="GW85" s="230"/>
      <c r="GX85" s="230"/>
      <c r="GY85" s="230"/>
      <c r="GZ85" s="230"/>
      <c r="HA85" s="230"/>
      <c r="HB85" s="230"/>
      <c r="HC85" s="230"/>
      <c r="HD85" s="230"/>
      <c r="HE85" s="230"/>
      <c r="HF85" s="230"/>
      <c r="HG85" s="230"/>
      <c r="HH85" s="230"/>
      <c r="HI85" s="230"/>
      <c r="HJ85" s="230"/>
      <c r="HK85" s="230"/>
      <c r="HL85" s="230"/>
      <c r="HM85" s="230"/>
      <c r="HN85" s="230"/>
      <c r="HO85" s="230"/>
      <c r="HP85" s="230"/>
      <c r="HQ85" s="230"/>
      <c r="HR85" s="230"/>
      <c r="HS85" s="230"/>
      <c r="HT85" s="230"/>
      <c r="HU85" s="230"/>
      <c r="HV85" s="230"/>
      <c r="HW85" s="230"/>
      <c r="HX85" s="230"/>
      <c r="HY85" s="230"/>
      <c r="HZ85" s="230"/>
      <c r="IA85" s="230"/>
      <c r="IB85" s="230"/>
      <c r="IC85" s="230"/>
      <c r="ID85" s="230"/>
      <c r="IE85" s="230"/>
      <c r="IF85" s="230"/>
      <c r="IG85" s="230"/>
      <c r="IH85" s="230"/>
      <c r="II85" s="230"/>
      <c r="IJ85" s="230"/>
      <c r="IK85" s="230"/>
      <c r="IL85" s="230"/>
      <c r="IM85" s="230"/>
      <c r="IN85" s="230"/>
      <c r="IO85" s="230"/>
      <c r="IP85" s="230"/>
      <c r="IQ85" s="230"/>
    </row>
    <row r="86" spans="1:251" s="73" customFormat="1">
      <c r="A86" s="193" t="s">
        <v>520</v>
      </c>
      <c r="B86" s="194">
        <f>0.89*12*B71*1.25</f>
        <v>9721.4700000000012</v>
      </c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0"/>
      <c r="CT86" s="230"/>
      <c r="CU86" s="230"/>
      <c r="CV86" s="230"/>
      <c r="CW86" s="230"/>
      <c r="CX86" s="230"/>
      <c r="CY86" s="230"/>
      <c r="CZ86" s="230"/>
      <c r="DA86" s="230"/>
      <c r="DB86" s="230"/>
      <c r="DC86" s="230"/>
      <c r="DD86" s="230"/>
      <c r="DE86" s="230"/>
      <c r="DF86" s="230"/>
      <c r="DG86" s="230"/>
      <c r="DH86" s="230"/>
      <c r="DI86" s="230"/>
      <c r="DJ86" s="230"/>
      <c r="DK86" s="230"/>
      <c r="DL86" s="230"/>
      <c r="DM86" s="230"/>
      <c r="DN86" s="230"/>
      <c r="DO86" s="230"/>
      <c r="DP86" s="230"/>
      <c r="DQ86" s="230"/>
      <c r="DR86" s="230"/>
      <c r="DS86" s="230"/>
      <c r="DT86" s="230"/>
      <c r="DU86" s="230"/>
      <c r="DV86" s="230"/>
      <c r="DW86" s="230"/>
      <c r="DX86" s="230"/>
      <c r="DY86" s="230"/>
      <c r="DZ86" s="230"/>
      <c r="EA86" s="230"/>
      <c r="EB86" s="230"/>
      <c r="EC86" s="230"/>
      <c r="ED86" s="230"/>
      <c r="EE86" s="230"/>
      <c r="EF86" s="230"/>
      <c r="EG86" s="230"/>
      <c r="EH86" s="230"/>
      <c r="EI86" s="230"/>
      <c r="EJ86" s="230"/>
      <c r="EK86" s="230"/>
      <c r="EL86" s="230"/>
      <c r="EM86" s="230"/>
      <c r="EN86" s="230"/>
      <c r="EO86" s="230"/>
      <c r="EP86" s="230"/>
      <c r="EQ86" s="230"/>
      <c r="ER86" s="230"/>
      <c r="ES86" s="230"/>
      <c r="ET86" s="230"/>
      <c r="EU86" s="230"/>
      <c r="EV86" s="230"/>
      <c r="EW86" s="230"/>
      <c r="EX86" s="230"/>
      <c r="EY86" s="230"/>
      <c r="EZ86" s="230"/>
      <c r="FA86" s="230"/>
      <c r="FB86" s="230"/>
      <c r="FC86" s="230"/>
      <c r="FD86" s="230"/>
      <c r="FE86" s="230"/>
      <c r="FF86" s="230"/>
      <c r="FG86" s="230"/>
      <c r="FH86" s="230"/>
      <c r="FI86" s="230"/>
      <c r="FJ86" s="230"/>
      <c r="FK86" s="230"/>
      <c r="FL86" s="230"/>
      <c r="FM86" s="230"/>
      <c r="FN86" s="230"/>
      <c r="FO86" s="230"/>
      <c r="FP86" s="230"/>
      <c r="FQ86" s="230"/>
      <c r="FR86" s="230"/>
      <c r="FS86" s="230"/>
      <c r="FT86" s="230"/>
      <c r="FU86" s="230"/>
      <c r="FV86" s="230"/>
      <c r="FW86" s="230"/>
      <c r="FX86" s="230"/>
      <c r="FY86" s="230"/>
      <c r="FZ86" s="230"/>
      <c r="GA86" s="230"/>
      <c r="GB86" s="230"/>
      <c r="GC86" s="230"/>
      <c r="GD86" s="230"/>
      <c r="GE86" s="230"/>
      <c r="GF86" s="230"/>
      <c r="GG86" s="230"/>
      <c r="GH86" s="230"/>
      <c r="GI86" s="230"/>
      <c r="GJ86" s="230"/>
      <c r="GK86" s="230"/>
      <c r="GL86" s="230"/>
      <c r="GM86" s="230"/>
      <c r="GN86" s="230"/>
      <c r="GO86" s="230"/>
      <c r="GP86" s="230"/>
      <c r="GQ86" s="230"/>
      <c r="GR86" s="230"/>
      <c r="GS86" s="230"/>
      <c r="GT86" s="230"/>
      <c r="GU86" s="230"/>
      <c r="GV86" s="230"/>
      <c r="GW86" s="230"/>
      <c r="GX86" s="230"/>
      <c r="GY86" s="230"/>
      <c r="GZ86" s="230"/>
      <c r="HA86" s="230"/>
      <c r="HB86" s="230"/>
      <c r="HC86" s="230"/>
      <c r="HD86" s="230"/>
      <c r="HE86" s="230"/>
      <c r="HF86" s="230"/>
      <c r="HG86" s="230"/>
      <c r="HH86" s="230"/>
      <c r="HI86" s="230"/>
      <c r="HJ86" s="230"/>
      <c r="HK86" s="230"/>
      <c r="HL86" s="230"/>
      <c r="HM86" s="230"/>
      <c r="HN86" s="230"/>
      <c r="HO86" s="230"/>
      <c r="HP86" s="230"/>
      <c r="HQ86" s="230"/>
      <c r="HR86" s="230"/>
      <c r="HS86" s="230"/>
      <c r="HT86" s="230"/>
      <c r="HU86" s="230"/>
      <c r="HV86" s="230"/>
      <c r="HW86" s="230"/>
      <c r="HX86" s="230"/>
      <c r="HY86" s="230"/>
      <c r="HZ86" s="230"/>
      <c r="IA86" s="230"/>
      <c r="IB86" s="230"/>
      <c r="IC86" s="230"/>
      <c r="ID86" s="230"/>
      <c r="IE86" s="230"/>
      <c r="IF86" s="230"/>
      <c r="IG86" s="230"/>
      <c r="IH86" s="230"/>
      <c r="II86" s="230"/>
      <c r="IJ86" s="230"/>
      <c r="IK86" s="230"/>
      <c r="IL86" s="230"/>
      <c r="IM86" s="230"/>
      <c r="IN86" s="230"/>
      <c r="IO86" s="230"/>
      <c r="IP86" s="230"/>
      <c r="IQ86" s="230"/>
    </row>
    <row r="87" spans="1:251" s="73" customFormat="1">
      <c r="A87" s="193" t="s">
        <v>1618</v>
      </c>
      <c r="B87" s="194">
        <f>9915.45*1.25</f>
        <v>12394.3125</v>
      </c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230"/>
      <c r="CT87" s="230"/>
      <c r="CU87" s="230"/>
      <c r="CV87" s="230"/>
      <c r="CW87" s="230"/>
      <c r="CX87" s="230"/>
      <c r="CY87" s="230"/>
      <c r="CZ87" s="230"/>
      <c r="DA87" s="230"/>
      <c r="DB87" s="230"/>
      <c r="DC87" s="230"/>
      <c r="DD87" s="230"/>
      <c r="DE87" s="230"/>
      <c r="DF87" s="230"/>
      <c r="DG87" s="230"/>
      <c r="DH87" s="230"/>
      <c r="DI87" s="230"/>
      <c r="DJ87" s="230"/>
      <c r="DK87" s="230"/>
      <c r="DL87" s="230"/>
      <c r="DM87" s="230"/>
      <c r="DN87" s="230"/>
      <c r="DO87" s="230"/>
      <c r="DP87" s="230"/>
      <c r="DQ87" s="230"/>
      <c r="DR87" s="230"/>
      <c r="DS87" s="230"/>
      <c r="DT87" s="230"/>
      <c r="DU87" s="230"/>
      <c r="DV87" s="230"/>
      <c r="DW87" s="230"/>
      <c r="DX87" s="230"/>
      <c r="DY87" s="230"/>
      <c r="DZ87" s="230"/>
      <c r="EA87" s="230"/>
      <c r="EB87" s="230"/>
      <c r="EC87" s="230"/>
      <c r="ED87" s="230"/>
      <c r="EE87" s="230"/>
      <c r="EF87" s="230"/>
      <c r="EG87" s="230"/>
      <c r="EH87" s="230"/>
      <c r="EI87" s="230"/>
      <c r="EJ87" s="230"/>
      <c r="EK87" s="230"/>
      <c r="EL87" s="230"/>
      <c r="EM87" s="230"/>
      <c r="EN87" s="230"/>
      <c r="EO87" s="230"/>
      <c r="EP87" s="230"/>
      <c r="EQ87" s="230"/>
      <c r="ER87" s="230"/>
      <c r="ES87" s="230"/>
      <c r="ET87" s="230"/>
      <c r="EU87" s="230"/>
      <c r="EV87" s="230"/>
      <c r="EW87" s="230"/>
      <c r="EX87" s="230"/>
      <c r="EY87" s="230"/>
      <c r="EZ87" s="230"/>
      <c r="FA87" s="230"/>
      <c r="FB87" s="230"/>
      <c r="FC87" s="230"/>
      <c r="FD87" s="230"/>
      <c r="FE87" s="230"/>
      <c r="FF87" s="230"/>
      <c r="FG87" s="230"/>
      <c r="FH87" s="230"/>
      <c r="FI87" s="230"/>
      <c r="FJ87" s="230"/>
      <c r="FK87" s="230"/>
      <c r="FL87" s="230"/>
      <c r="FM87" s="230"/>
      <c r="FN87" s="230"/>
      <c r="FO87" s="230"/>
      <c r="FP87" s="230"/>
      <c r="FQ87" s="230"/>
      <c r="FR87" s="230"/>
      <c r="FS87" s="230"/>
      <c r="FT87" s="230"/>
      <c r="FU87" s="230"/>
      <c r="FV87" s="230"/>
      <c r="FW87" s="230"/>
      <c r="FX87" s="230"/>
      <c r="FY87" s="230"/>
      <c r="FZ87" s="230"/>
      <c r="GA87" s="230"/>
      <c r="GB87" s="230"/>
      <c r="GC87" s="230"/>
      <c r="GD87" s="230"/>
      <c r="GE87" s="230"/>
      <c r="GF87" s="230"/>
      <c r="GG87" s="230"/>
      <c r="GH87" s="230"/>
      <c r="GI87" s="230"/>
      <c r="GJ87" s="230"/>
      <c r="GK87" s="230"/>
      <c r="GL87" s="230"/>
      <c r="GM87" s="230"/>
      <c r="GN87" s="230"/>
      <c r="GO87" s="230"/>
      <c r="GP87" s="230"/>
      <c r="GQ87" s="230"/>
      <c r="GR87" s="230"/>
      <c r="GS87" s="230"/>
      <c r="GT87" s="230"/>
      <c r="GU87" s="230"/>
      <c r="GV87" s="230"/>
      <c r="GW87" s="230"/>
      <c r="GX87" s="230"/>
      <c r="GY87" s="230"/>
      <c r="GZ87" s="230"/>
      <c r="HA87" s="230"/>
      <c r="HB87" s="230"/>
      <c r="HC87" s="230"/>
      <c r="HD87" s="230"/>
      <c r="HE87" s="230"/>
      <c r="HF87" s="230"/>
      <c r="HG87" s="230"/>
      <c r="HH87" s="230"/>
      <c r="HI87" s="230"/>
      <c r="HJ87" s="230"/>
      <c r="HK87" s="230"/>
      <c r="HL87" s="230"/>
      <c r="HM87" s="230"/>
      <c r="HN87" s="230"/>
      <c r="HO87" s="230"/>
      <c r="HP87" s="230"/>
      <c r="HQ87" s="230"/>
      <c r="HR87" s="230"/>
      <c r="HS87" s="230"/>
      <c r="HT87" s="230"/>
      <c r="HU87" s="230"/>
      <c r="HV87" s="230"/>
      <c r="HW87" s="230"/>
      <c r="HX87" s="230"/>
      <c r="HY87" s="230"/>
      <c r="HZ87" s="230"/>
      <c r="IA87" s="230"/>
      <c r="IB87" s="230"/>
      <c r="IC87" s="230"/>
      <c r="ID87" s="230"/>
      <c r="IE87" s="230"/>
      <c r="IF87" s="230"/>
      <c r="IG87" s="230"/>
      <c r="IH87" s="230"/>
      <c r="II87" s="230"/>
      <c r="IJ87" s="230"/>
      <c r="IK87" s="230"/>
      <c r="IL87" s="230"/>
      <c r="IM87" s="230"/>
      <c r="IN87" s="230"/>
      <c r="IO87" s="230"/>
      <c r="IP87" s="230"/>
      <c r="IQ87" s="230"/>
    </row>
    <row r="88" spans="1:251">
      <c r="A88" s="181" t="s">
        <v>600</v>
      </c>
      <c r="B88" s="194">
        <f>57*70*1.25</f>
        <v>4987.5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9"/>
      <c r="EF88" s="179"/>
      <c r="EG88" s="179"/>
      <c r="EH88" s="179"/>
      <c r="EI88" s="179"/>
      <c r="EJ88" s="179"/>
      <c r="EK88" s="179"/>
      <c r="EL88" s="179"/>
      <c r="EM88" s="179"/>
      <c r="EN88" s="179"/>
      <c r="EO88" s="179"/>
      <c r="EP88" s="179"/>
      <c r="EQ88" s="179"/>
      <c r="ER88" s="179"/>
      <c r="ES88" s="179"/>
      <c r="ET88" s="179"/>
      <c r="EU88" s="179"/>
      <c r="EV88" s="179"/>
      <c r="EW88" s="179"/>
      <c r="EX88" s="179"/>
      <c r="EY88" s="179"/>
      <c r="EZ88" s="179"/>
      <c r="FA88" s="179"/>
      <c r="FB88" s="179"/>
      <c r="FC88" s="179"/>
      <c r="FD88" s="179"/>
      <c r="FE88" s="179"/>
      <c r="FF88" s="179"/>
      <c r="FG88" s="179"/>
      <c r="FH88" s="179"/>
      <c r="FI88" s="179"/>
      <c r="FJ88" s="179"/>
      <c r="FK88" s="179"/>
      <c r="FL88" s="179"/>
      <c r="FM88" s="179"/>
      <c r="FN88" s="179"/>
      <c r="FO88" s="179"/>
      <c r="FP88" s="179"/>
      <c r="FQ88" s="179"/>
      <c r="FR88" s="179"/>
      <c r="FS88" s="179"/>
      <c r="FT88" s="179"/>
      <c r="FU88" s="179"/>
      <c r="FV88" s="179"/>
      <c r="FW88" s="179"/>
      <c r="FX88" s="179"/>
      <c r="FY88" s="179"/>
      <c r="FZ88" s="179"/>
      <c r="GA88" s="179"/>
      <c r="GB88" s="179"/>
      <c r="GC88" s="179"/>
      <c r="GD88" s="179"/>
      <c r="GE88" s="179"/>
      <c r="GF88" s="179"/>
      <c r="GG88" s="179"/>
      <c r="GH88" s="179"/>
      <c r="GI88" s="179"/>
      <c r="GJ88" s="179"/>
      <c r="GK88" s="179"/>
      <c r="GL88" s="179"/>
      <c r="GM88" s="179"/>
      <c r="GN88" s="179"/>
      <c r="GO88" s="179"/>
      <c r="GP88" s="179"/>
      <c r="GQ88" s="179"/>
      <c r="GR88" s="179"/>
      <c r="GS88" s="179"/>
      <c r="GT88" s="179"/>
      <c r="GU88" s="179"/>
      <c r="GV88" s="179"/>
      <c r="GW88" s="179"/>
      <c r="GX88" s="179"/>
      <c r="GY88" s="179"/>
      <c r="GZ88" s="179"/>
      <c r="HA88" s="179"/>
      <c r="HB88" s="179"/>
      <c r="HC88" s="179"/>
      <c r="HD88" s="179"/>
      <c r="HE88" s="179"/>
      <c r="HF88" s="179"/>
      <c r="HG88" s="179"/>
      <c r="HH88" s="179"/>
      <c r="HI88" s="179"/>
      <c r="HJ88" s="179"/>
      <c r="HK88" s="179"/>
      <c r="HL88" s="179"/>
      <c r="HM88" s="179"/>
      <c r="HN88" s="179"/>
      <c r="HO88" s="179"/>
      <c r="HP88" s="179"/>
      <c r="HQ88" s="179"/>
      <c r="HR88" s="179"/>
      <c r="HS88" s="179"/>
      <c r="HT88" s="179"/>
      <c r="HU88" s="179"/>
      <c r="HV88" s="179"/>
      <c r="HW88" s="179"/>
      <c r="HX88" s="179"/>
      <c r="HY88" s="179"/>
      <c r="HZ88" s="179"/>
      <c r="IA88" s="179"/>
      <c r="IB88" s="179"/>
      <c r="IC88" s="179"/>
      <c r="ID88" s="179"/>
      <c r="IE88" s="179"/>
      <c r="IF88" s="179"/>
      <c r="IG88" s="179"/>
      <c r="IH88" s="179"/>
      <c r="II88" s="179"/>
      <c r="IJ88" s="179"/>
      <c r="IK88" s="179"/>
      <c r="IL88" s="179"/>
      <c r="IM88" s="179"/>
      <c r="IN88" s="179"/>
      <c r="IO88" s="179"/>
      <c r="IP88" s="179"/>
      <c r="IQ88" s="179"/>
    </row>
    <row r="89" spans="1:251" s="73" customFormat="1">
      <c r="A89" s="193" t="s">
        <v>601</v>
      </c>
      <c r="B89" s="194">
        <f>0.02*9100*13*1.302*1.25</f>
        <v>3850.665</v>
      </c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0"/>
      <c r="CT89" s="230"/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0"/>
      <c r="DI89" s="230"/>
      <c r="DJ89" s="230"/>
      <c r="DK89" s="230"/>
      <c r="DL89" s="230"/>
      <c r="DM89" s="230"/>
      <c r="DN89" s="230"/>
      <c r="DO89" s="230"/>
      <c r="DP89" s="230"/>
      <c r="DQ89" s="230"/>
      <c r="DR89" s="230"/>
      <c r="DS89" s="230"/>
      <c r="DT89" s="230"/>
      <c r="DU89" s="230"/>
      <c r="DV89" s="230"/>
      <c r="DW89" s="230"/>
      <c r="DX89" s="230"/>
      <c r="DY89" s="230"/>
      <c r="DZ89" s="230"/>
      <c r="EA89" s="230"/>
      <c r="EB89" s="230"/>
      <c r="EC89" s="230"/>
      <c r="ED89" s="230"/>
      <c r="EE89" s="230"/>
      <c r="EF89" s="230"/>
      <c r="EG89" s="230"/>
      <c r="EH89" s="230"/>
      <c r="EI89" s="230"/>
      <c r="EJ89" s="230"/>
      <c r="EK89" s="230"/>
      <c r="EL89" s="230"/>
      <c r="EM89" s="230"/>
      <c r="EN89" s="230"/>
      <c r="EO89" s="230"/>
      <c r="EP89" s="230"/>
      <c r="EQ89" s="230"/>
      <c r="ER89" s="230"/>
      <c r="ES89" s="230"/>
      <c r="ET89" s="230"/>
      <c r="EU89" s="230"/>
      <c r="EV89" s="230"/>
      <c r="EW89" s="230"/>
      <c r="EX89" s="230"/>
      <c r="EY89" s="230"/>
      <c r="EZ89" s="230"/>
      <c r="FA89" s="230"/>
      <c r="FB89" s="230"/>
      <c r="FC89" s="230"/>
      <c r="FD89" s="230"/>
      <c r="FE89" s="230"/>
      <c r="FF89" s="230"/>
      <c r="FG89" s="230"/>
      <c r="FH89" s="230"/>
      <c r="FI89" s="230"/>
      <c r="FJ89" s="230"/>
      <c r="FK89" s="230"/>
      <c r="FL89" s="230"/>
      <c r="FM89" s="230"/>
      <c r="FN89" s="230"/>
      <c r="FO89" s="230"/>
      <c r="FP89" s="230"/>
      <c r="FQ89" s="230"/>
      <c r="FR89" s="230"/>
      <c r="FS89" s="230"/>
      <c r="FT89" s="230"/>
      <c r="FU89" s="230"/>
      <c r="FV89" s="230"/>
      <c r="FW89" s="230"/>
      <c r="FX89" s="230"/>
      <c r="FY89" s="230"/>
      <c r="FZ89" s="230"/>
      <c r="GA89" s="230"/>
      <c r="GB89" s="230"/>
      <c r="GC89" s="230"/>
      <c r="GD89" s="230"/>
      <c r="GE89" s="230"/>
      <c r="GF89" s="230"/>
      <c r="GG89" s="230"/>
      <c r="GH89" s="230"/>
      <c r="GI89" s="230"/>
      <c r="GJ89" s="230"/>
      <c r="GK89" s="230"/>
      <c r="GL89" s="230"/>
      <c r="GM89" s="230"/>
      <c r="GN89" s="230"/>
      <c r="GO89" s="230"/>
      <c r="GP89" s="230"/>
      <c r="GQ89" s="230"/>
      <c r="GR89" s="230"/>
      <c r="GS89" s="230"/>
      <c r="GT89" s="230"/>
      <c r="GU89" s="230"/>
      <c r="GV89" s="230"/>
      <c r="GW89" s="230"/>
      <c r="GX89" s="230"/>
      <c r="GY89" s="230"/>
      <c r="GZ89" s="230"/>
      <c r="HA89" s="230"/>
      <c r="HB89" s="230"/>
      <c r="HC89" s="230"/>
      <c r="HD89" s="230"/>
      <c r="HE89" s="230"/>
      <c r="HF89" s="230"/>
      <c r="HG89" s="230"/>
      <c r="HH89" s="230"/>
      <c r="HI89" s="230"/>
      <c r="HJ89" s="230"/>
      <c r="HK89" s="230"/>
      <c r="HL89" s="230"/>
      <c r="HM89" s="230"/>
      <c r="HN89" s="230"/>
      <c r="HO89" s="230"/>
      <c r="HP89" s="230"/>
      <c r="HQ89" s="230"/>
      <c r="HR89" s="230"/>
      <c r="HS89" s="230"/>
      <c r="HT89" s="230"/>
      <c r="HU89" s="230"/>
      <c r="HV89" s="230"/>
      <c r="HW89" s="230"/>
      <c r="HX89" s="230"/>
      <c r="HY89" s="230"/>
      <c r="HZ89" s="230"/>
      <c r="IA89" s="230"/>
      <c r="IB89" s="230"/>
      <c r="IC89" s="230"/>
      <c r="ID89" s="230"/>
      <c r="IE89" s="230"/>
      <c r="IF89" s="230"/>
      <c r="IG89" s="230"/>
      <c r="IH89" s="230"/>
      <c r="II89" s="230"/>
      <c r="IJ89" s="230"/>
      <c r="IK89" s="230"/>
      <c r="IL89" s="230"/>
      <c r="IM89" s="230"/>
      <c r="IN89" s="230"/>
      <c r="IO89" s="230"/>
      <c r="IP89" s="230"/>
      <c r="IQ89" s="230"/>
    </row>
    <row r="90" spans="1:251">
      <c r="A90" s="181" t="s">
        <v>602</v>
      </c>
      <c r="B90" s="194">
        <f>B68</f>
        <v>298</v>
      </c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79"/>
      <c r="DE90" s="179"/>
      <c r="DF90" s="179"/>
      <c r="DG90" s="179"/>
      <c r="DH90" s="179"/>
      <c r="DI90" s="179"/>
      <c r="DJ90" s="179"/>
      <c r="DK90" s="179"/>
      <c r="DL90" s="179"/>
      <c r="DM90" s="179"/>
      <c r="DN90" s="179"/>
      <c r="DO90" s="179"/>
      <c r="DP90" s="179"/>
      <c r="DQ90" s="179"/>
      <c r="DR90" s="179"/>
      <c r="DS90" s="179"/>
      <c r="DT90" s="179"/>
      <c r="DU90" s="179"/>
      <c r="DV90" s="179"/>
      <c r="DW90" s="179"/>
      <c r="DX90" s="179"/>
      <c r="DY90" s="179"/>
      <c r="DZ90" s="179"/>
      <c r="EA90" s="179"/>
      <c r="EB90" s="179"/>
      <c r="EC90" s="179"/>
      <c r="ED90" s="179"/>
      <c r="EE90" s="179"/>
      <c r="EF90" s="179"/>
      <c r="EG90" s="179"/>
      <c r="EH90" s="179"/>
      <c r="EI90" s="179"/>
      <c r="EJ90" s="179"/>
      <c r="EK90" s="179"/>
      <c r="EL90" s="179"/>
      <c r="EM90" s="179"/>
      <c r="EN90" s="179"/>
      <c r="EO90" s="179"/>
      <c r="EP90" s="179"/>
      <c r="EQ90" s="179"/>
      <c r="ER90" s="179"/>
      <c r="ES90" s="179"/>
      <c r="ET90" s="179"/>
      <c r="EU90" s="179"/>
      <c r="EV90" s="179"/>
      <c r="EW90" s="179"/>
      <c r="EX90" s="179"/>
      <c r="EY90" s="179"/>
      <c r="EZ90" s="179"/>
      <c r="FA90" s="179"/>
      <c r="FB90" s="179"/>
      <c r="FC90" s="179"/>
      <c r="FD90" s="179"/>
      <c r="FE90" s="179"/>
      <c r="FF90" s="179"/>
      <c r="FG90" s="179"/>
      <c r="FH90" s="179"/>
      <c r="FI90" s="179"/>
      <c r="FJ90" s="179"/>
      <c r="FK90" s="179"/>
      <c r="FL90" s="179"/>
      <c r="FM90" s="179"/>
      <c r="FN90" s="179"/>
      <c r="FO90" s="179"/>
      <c r="FP90" s="179"/>
      <c r="FQ90" s="179"/>
      <c r="FR90" s="179"/>
      <c r="FS90" s="179"/>
      <c r="FT90" s="179"/>
      <c r="FU90" s="179"/>
      <c r="FV90" s="179"/>
      <c r="FW90" s="179"/>
      <c r="FX90" s="179"/>
      <c r="FY90" s="179"/>
      <c r="FZ90" s="179"/>
      <c r="GA90" s="179"/>
      <c r="GB90" s="179"/>
      <c r="GC90" s="179"/>
      <c r="GD90" s="179"/>
      <c r="GE90" s="179"/>
      <c r="GF90" s="179"/>
      <c r="GG90" s="179"/>
      <c r="GH90" s="179"/>
      <c r="GI90" s="179"/>
      <c r="GJ90" s="179"/>
      <c r="GK90" s="179"/>
      <c r="GL90" s="179"/>
      <c r="GM90" s="179"/>
      <c r="GN90" s="179"/>
      <c r="GO90" s="179"/>
      <c r="GP90" s="179"/>
      <c r="GQ90" s="179"/>
      <c r="GR90" s="179"/>
      <c r="GS90" s="179"/>
      <c r="GT90" s="179"/>
      <c r="GU90" s="179"/>
      <c r="GV90" s="179"/>
      <c r="GW90" s="179"/>
      <c r="GX90" s="179"/>
      <c r="GY90" s="179"/>
      <c r="GZ90" s="179"/>
      <c r="HA90" s="179"/>
      <c r="HB90" s="179"/>
      <c r="HC90" s="179"/>
      <c r="HD90" s="179"/>
      <c r="HE90" s="179"/>
      <c r="HF90" s="179"/>
      <c r="HG90" s="179"/>
      <c r="HH90" s="179"/>
      <c r="HI90" s="179"/>
      <c r="HJ90" s="179"/>
      <c r="HK90" s="179"/>
      <c r="HL90" s="179"/>
      <c r="HM90" s="179"/>
      <c r="HN90" s="179"/>
      <c r="HO90" s="179"/>
      <c r="HP90" s="179"/>
      <c r="HQ90" s="179"/>
      <c r="HR90" s="179"/>
      <c r="HS90" s="179"/>
      <c r="HT90" s="179"/>
      <c r="HU90" s="179"/>
      <c r="HV90" s="179"/>
      <c r="HW90" s="179"/>
      <c r="HX90" s="179"/>
      <c r="HY90" s="179"/>
      <c r="HZ90" s="179"/>
      <c r="IA90" s="179"/>
      <c r="IB90" s="179"/>
      <c r="IC90" s="179"/>
      <c r="ID90" s="179"/>
      <c r="IE90" s="179"/>
      <c r="IF90" s="179"/>
      <c r="IG90" s="179"/>
      <c r="IH90" s="179"/>
      <c r="II90" s="179"/>
      <c r="IJ90" s="179"/>
      <c r="IK90" s="179"/>
      <c r="IL90" s="179"/>
      <c r="IM90" s="179"/>
      <c r="IN90" s="179"/>
      <c r="IO90" s="179"/>
      <c r="IP90" s="179"/>
      <c r="IQ90" s="179"/>
    </row>
    <row r="91" spans="1:251">
      <c r="A91" s="181" t="s">
        <v>603</v>
      </c>
      <c r="B91" s="194">
        <f>B90*130*1.302*1.25</f>
        <v>63049.350000000006</v>
      </c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179"/>
      <c r="EL91" s="179"/>
      <c r="EM91" s="179"/>
      <c r="EN91" s="179"/>
      <c r="EO91" s="179"/>
      <c r="EP91" s="179"/>
      <c r="EQ91" s="179"/>
      <c r="ER91" s="179"/>
      <c r="ES91" s="179"/>
      <c r="ET91" s="179"/>
      <c r="EU91" s="179"/>
      <c r="EV91" s="179"/>
      <c r="EW91" s="179"/>
      <c r="EX91" s="179"/>
      <c r="EY91" s="179"/>
      <c r="EZ91" s="179"/>
      <c r="FA91" s="179"/>
      <c r="FB91" s="179"/>
      <c r="FC91" s="179"/>
      <c r="FD91" s="179"/>
      <c r="FE91" s="179"/>
      <c r="FF91" s="179"/>
      <c r="FG91" s="179"/>
      <c r="FH91" s="179"/>
      <c r="FI91" s="179"/>
      <c r="FJ91" s="179"/>
      <c r="FK91" s="179"/>
      <c r="FL91" s="179"/>
      <c r="FM91" s="179"/>
      <c r="FN91" s="179"/>
      <c r="FO91" s="179"/>
      <c r="FP91" s="179"/>
      <c r="FQ91" s="179"/>
      <c r="FR91" s="179"/>
      <c r="FS91" s="179"/>
      <c r="FT91" s="179"/>
      <c r="FU91" s="179"/>
      <c r="FV91" s="179"/>
      <c r="FW91" s="179"/>
      <c r="FX91" s="179"/>
      <c r="FY91" s="179"/>
      <c r="FZ91" s="179"/>
      <c r="GA91" s="179"/>
      <c r="GB91" s="179"/>
      <c r="GC91" s="179"/>
      <c r="GD91" s="179"/>
      <c r="GE91" s="179"/>
      <c r="GF91" s="179"/>
      <c r="GG91" s="179"/>
      <c r="GH91" s="179"/>
      <c r="GI91" s="179"/>
      <c r="GJ91" s="179"/>
      <c r="GK91" s="179"/>
      <c r="GL91" s="179"/>
      <c r="GM91" s="179"/>
      <c r="GN91" s="179"/>
      <c r="GO91" s="179"/>
      <c r="GP91" s="179"/>
      <c r="GQ91" s="179"/>
      <c r="GR91" s="179"/>
      <c r="GS91" s="179"/>
      <c r="GT91" s="179"/>
      <c r="GU91" s="179"/>
      <c r="GV91" s="179"/>
      <c r="GW91" s="179"/>
      <c r="GX91" s="179"/>
      <c r="GY91" s="179"/>
      <c r="GZ91" s="179"/>
      <c r="HA91" s="179"/>
      <c r="HB91" s="179"/>
      <c r="HC91" s="179"/>
      <c r="HD91" s="179"/>
      <c r="HE91" s="179"/>
      <c r="HF91" s="179"/>
      <c r="HG91" s="179"/>
      <c r="HH91" s="179"/>
      <c r="HI91" s="179"/>
      <c r="HJ91" s="179"/>
      <c r="HK91" s="179"/>
      <c r="HL91" s="179"/>
      <c r="HM91" s="179"/>
      <c r="HN91" s="179"/>
      <c r="HO91" s="179"/>
      <c r="HP91" s="179"/>
      <c r="HQ91" s="179"/>
      <c r="HR91" s="179"/>
      <c r="HS91" s="179"/>
      <c r="HT91" s="179"/>
      <c r="HU91" s="179"/>
      <c r="HV91" s="179"/>
      <c r="HW91" s="179"/>
      <c r="HX91" s="179"/>
      <c r="HY91" s="179"/>
      <c r="HZ91" s="179"/>
      <c r="IA91" s="179"/>
      <c r="IB91" s="179"/>
      <c r="IC91" s="179"/>
      <c r="ID91" s="179"/>
      <c r="IE91" s="179"/>
      <c r="IF91" s="179"/>
      <c r="IG91" s="179"/>
      <c r="IH91" s="179"/>
      <c r="II91" s="179"/>
      <c r="IJ91" s="179"/>
      <c r="IK91" s="179"/>
      <c r="IL91" s="179"/>
      <c r="IM91" s="179"/>
      <c r="IN91" s="179"/>
      <c r="IO91" s="179"/>
      <c r="IP91" s="179"/>
      <c r="IQ91" s="179"/>
    </row>
    <row r="92" spans="1:251">
      <c r="A92" s="181" t="s">
        <v>1620</v>
      </c>
      <c r="B92" s="194">
        <f>B76</f>
        <v>4624.1099999999997</v>
      </c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9"/>
      <c r="CZ92" s="179"/>
      <c r="DA92" s="179"/>
      <c r="DB92" s="179"/>
      <c r="DC92" s="179"/>
      <c r="DD92" s="179"/>
      <c r="DE92" s="179"/>
      <c r="DF92" s="179"/>
      <c r="DG92" s="179"/>
      <c r="DH92" s="179"/>
      <c r="DI92" s="179"/>
      <c r="DJ92" s="179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/>
      <c r="EF92" s="179"/>
      <c r="EG92" s="179"/>
      <c r="EH92" s="179"/>
      <c r="EI92" s="179"/>
      <c r="EJ92" s="179"/>
      <c r="EK92" s="179"/>
      <c r="EL92" s="179"/>
      <c r="EM92" s="179"/>
      <c r="EN92" s="179"/>
      <c r="EO92" s="179"/>
      <c r="EP92" s="179"/>
      <c r="EQ92" s="179"/>
      <c r="ER92" s="179"/>
      <c r="ES92" s="179"/>
      <c r="ET92" s="179"/>
      <c r="EU92" s="179"/>
      <c r="EV92" s="179"/>
      <c r="EW92" s="179"/>
      <c r="EX92" s="179"/>
      <c r="EY92" s="179"/>
      <c r="EZ92" s="179"/>
      <c r="FA92" s="179"/>
      <c r="FB92" s="179"/>
      <c r="FC92" s="179"/>
      <c r="FD92" s="179"/>
      <c r="FE92" s="179"/>
      <c r="FF92" s="179"/>
      <c r="FG92" s="179"/>
      <c r="FH92" s="179"/>
      <c r="FI92" s="179"/>
      <c r="FJ92" s="179"/>
      <c r="FK92" s="179"/>
      <c r="FL92" s="179"/>
      <c r="FM92" s="179"/>
      <c r="FN92" s="179"/>
      <c r="FO92" s="179"/>
      <c r="FP92" s="179"/>
      <c r="FQ92" s="179"/>
      <c r="FR92" s="179"/>
      <c r="FS92" s="179"/>
      <c r="FT92" s="179"/>
      <c r="FU92" s="179"/>
      <c r="FV92" s="179"/>
      <c r="FW92" s="179"/>
      <c r="FX92" s="179"/>
      <c r="FY92" s="179"/>
      <c r="FZ92" s="179"/>
      <c r="GA92" s="179"/>
      <c r="GB92" s="179"/>
      <c r="GC92" s="179"/>
      <c r="GD92" s="179"/>
      <c r="GE92" s="179"/>
      <c r="GF92" s="179"/>
      <c r="GG92" s="179"/>
      <c r="GH92" s="179"/>
      <c r="GI92" s="179"/>
      <c r="GJ92" s="179"/>
      <c r="GK92" s="179"/>
      <c r="GL92" s="179"/>
      <c r="GM92" s="179"/>
      <c r="GN92" s="179"/>
      <c r="GO92" s="179"/>
      <c r="GP92" s="179"/>
      <c r="GQ92" s="179"/>
      <c r="GR92" s="179"/>
      <c r="GS92" s="179"/>
      <c r="GT92" s="179"/>
      <c r="GU92" s="179"/>
      <c r="GV92" s="179"/>
      <c r="GW92" s="179"/>
      <c r="GX92" s="179"/>
      <c r="GY92" s="179"/>
      <c r="GZ92" s="179"/>
      <c r="HA92" s="179"/>
      <c r="HB92" s="179"/>
      <c r="HC92" s="179"/>
      <c r="HD92" s="179"/>
      <c r="HE92" s="179"/>
      <c r="HF92" s="179"/>
      <c r="HG92" s="179"/>
      <c r="HH92" s="179"/>
      <c r="HI92" s="179"/>
      <c r="HJ92" s="179"/>
      <c r="HK92" s="179"/>
      <c r="HL92" s="179"/>
      <c r="HM92" s="179"/>
      <c r="HN92" s="179"/>
      <c r="HO92" s="179"/>
      <c r="HP92" s="179"/>
      <c r="HQ92" s="179"/>
      <c r="HR92" s="179"/>
      <c r="HS92" s="179"/>
      <c r="HT92" s="179"/>
      <c r="HU92" s="179"/>
      <c r="HV92" s="179"/>
      <c r="HW92" s="179"/>
      <c r="HX92" s="179"/>
      <c r="HY92" s="179"/>
      <c r="HZ92" s="179"/>
      <c r="IA92" s="179"/>
      <c r="IB92" s="179"/>
      <c r="IC92" s="179"/>
      <c r="ID92" s="179"/>
      <c r="IE92" s="179"/>
      <c r="IF92" s="179"/>
      <c r="IG92" s="179"/>
      <c r="IH92" s="179"/>
      <c r="II92" s="179"/>
      <c r="IJ92" s="179"/>
      <c r="IK92" s="179"/>
      <c r="IL92" s="179"/>
      <c r="IM92" s="179"/>
      <c r="IN92" s="179"/>
      <c r="IO92" s="179"/>
      <c r="IP92" s="179"/>
      <c r="IQ92" s="179"/>
    </row>
    <row r="93" spans="1:251" s="73" customFormat="1">
      <c r="A93" s="193" t="s">
        <v>1611</v>
      </c>
      <c r="B93" s="194">
        <f>1239.3+2903.13*1.25</f>
        <v>4868.2125000000005</v>
      </c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  <c r="FH93" s="230"/>
      <c r="FI93" s="230"/>
      <c r="FJ93" s="230"/>
      <c r="FK93" s="230"/>
      <c r="FL93" s="230"/>
      <c r="FM93" s="230"/>
      <c r="FN93" s="230"/>
      <c r="FO93" s="230"/>
      <c r="FP93" s="230"/>
      <c r="FQ93" s="230"/>
      <c r="FR93" s="230"/>
      <c r="FS93" s="230"/>
      <c r="FT93" s="230"/>
      <c r="FU93" s="230"/>
      <c r="FV93" s="230"/>
      <c r="FW93" s="230"/>
      <c r="FX93" s="230"/>
      <c r="FY93" s="230"/>
      <c r="FZ93" s="230"/>
      <c r="GA93" s="230"/>
      <c r="GB93" s="230"/>
      <c r="GC93" s="230"/>
      <c r="GD93" s="230"/>
      <c r="GE93" s="230"/>
      <c r="GF93" s="230"/>
      <c r="GG93" s="230"/>
      <c r="GH93" s="230"/>
      <c r="GI93" s="230"/>
      <c r="GJ93" s="230"/>
      <c r="GK93" s="230"/>
      <c r="GL93" s="230"/>
      <c r="GM93" s="230"/>
      <c r="GN93" s="230"/>
      <c r="GO93" s="230"/>
      <c r="GP93" s="230"/>
      <c r="GQ93" s="230"/>
      <c r="GR93" s="230"/>
      <c r="GS93" s="230"/>
      <c r="GT93" s="230"/>
      <c r="GU93" s="230"/>
      <c r="GV93" s="230"/>
      <c r="GW93" s="230"/>
      <c r="GX93" s="230"/>
      <c r="GY93" s="230"/>
      <c r="GZ93" s="230"/>
      <c r="HA93" s="230"/>
      <c r="HB93" s="230"/>
      <c r="HC93" s="230"/>
      <c r="HD93" s="230"/>
      <c r="HE93" s="230"/>
      <c r="HF93" s="230"/>
      <c r="HG93" s="230"/>
      <c r="HH93" s="230"/>
      <c r="HI93" s="230"/>
      <c r="HJ93" s="230"/>
      <c r="HK93" s="230"/>
      <c r="HL93" s="230"/>
      <c r="HM93" s="230"/>
      <c r="HN93" s="230"/>
      <c r="HO93" s="230"/>
      <c r="HP93" s="230"/>
      <c r="HQ93" s="230"/>
      <c r="HR93" s="230"/>
      <c r="HS93" s="230"/>
      <c r="HT93" s="230"/>
      <c r="HU93" s="230"/>
      <c r="HV93" s="230"/>
      <c r="HW93" s="230"/>
      <c r="HX93" s="230"/>
      <c r="HY93" s="230"/>
      <c r="HZ93" s="230"/>
      <c r="IA93" s="230"/>
      <c r="IB93" s="230"/>
      <c r="IC93" s="230"/>
      <c r="ID93" s="230"/>
      <c r="IE93" s="230"/>
      <c r="IF93" s="230"/>
      <c r="IG93" s="230"/>
      <c r="IH93" s="230"/>
      <c r="II93" s="230"/>
      <c r="IJ93" s="230"/>
      <c r="IK93" s="230"/>
      <c r="IL93" s="230"/>
      <c r="IM93" s="230"/>
      <c r="IN93" s="230"/>
      <c r="IO93" s="230"/>
      <c r="IP93" s="230"/>
      <c r="IQ93" s="230"/>
    </row>
    <row r="94" spans="1:251">
      <c r="A94" s="181" t="s">
        <v>724</v>
      </c>
      <c r="B94" s="194">
        <f>10088.77*1.25</f>
        <v>12610.962500000001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9"/>
      <c r="DC94" s="179"/>
      <c r="DD94" s="179"/>
      <c r="DE94" s="179"/>
      <c r="DF94" s="179"/>
      <c r="DG94" s="179"/>
      <c r="DH94" s="179"/>
      <c r="DI94" s="179"/>
      <c r="DJ94" s="179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9"/>
      <c r="EF94" s="179"/>
      <c r="EG94" s="179"/>
      <c r="EH94" s="179"/>
      <c r="EI94" s="179"/>
      <c r="EJ94" s="179"/>
      <c r="EK94" s="179"/>
      <c r="EL94" s="179"/>
      <c r="EM94" s="179"/>
      <c r="EN94" s="179"/>
      <c r="EO94" s="179"/>
      <c r="EP94" s="179"/>
      <c r="EQ94" s="179"/>
      <c r="ER94" s="179"/>
      <c r="ES94" s="179"/>
      <c r="ET94" s="179"/>
      <c r="EU94" s="179"/>
      <c r="EV94" s="179"/>
      <c r="EW94" s="179"/>
      <c r="EX94" s="179"/>
      <c r="EY94" s="179"/>
      <c r="EZ94" s="179"/>
      <c r="FA94" s="179"/>
      <c r="FB94" s="179"/>
      <c r="FC94" s="179"/>
      <c r="FD94" s="179"/>
      <c r="FE94" s="179"/>
      <c r="FF94" s="179"/>
      <c r="FG94" s="179"/>
      <c r="FH94" s="179"/>
      <c r="FI94" s="179"/>
      <c r="FJ94" s="179"/>
      <c r="FK94" s="179"/>
      <c r="FL94" s="179"/>
      <c r="FM94" s="179"/>
      <c r="FN94" s="179"/>
      <c r="FO94" s="179"/>
      <c r="FP94" s="179"/>
      <c r="FQ94" s="179"/>
      <c r="FR94" s="179"/>
      <c r="FS94" s="179"/>
      <c r="FT94" s="179"/>
      <c r="FU94" s="179"/>
      <c r="FV94" s="179"/>
      <c r="FW94" s="179"/>
      <c r="FX94" s="179"/>
      <c r="FY94" s="179"/>
      <c r="FZ94" s="179"/>
      <c r="GA94" s="179"/>
      <c r="GB94" s="179"/>
      <c r="GC94" s="179"/>
      <c r="GD94" s="179"/>
      <c r="GE94" s="179"/>
      <c r="GF94" s="179"/>
      <c r="GG94" s="179"/>
      <c r="GH94" s="179"/>
      <c r="GI94" s="179"/>
      <c r="GJ94" s="179"/>
      <c r="GK94" s="179"/>
      <c r="GL94" s="179"/>
      <c r="GM94" s="179"/>
      <c r="GN94" s="179"/>
      <c r="GO94" s="179"/>
      <c r="GP94" s="179"/>
      <c r="GQ94" s="179"/>
      <c r="GR94" s="179"/>
      <c r="GS94" s="179"/>
      <c r="GT94" s="179"/>
      <c r="GU94" s="179"/>
      <c r="GV94" s="179"/>
      <c r="GW94" s="179"/>
      <c r="GX94" s="179"/>
      <c r="GY94" s="179"/>
      <c r="GZ94" s="179"/>
      <c r="HA94" s="179"/>
      <c r="HB94" s="179"/>
      <c r="HC94" s="179"/>
      <c r="HD94" s="179"/>
      <c r="HE94" s="179"/>
      <c r="HF94" s="179"/>
      <c r="HG94" s="179"/>
      <c r="HH94" s="179"/>
      <c r="HI94" s="179"/>
      <c r="HJ94" s="179"/>
      <c r="HK94" s="179"/>
      <c r="HL94" s="179"/>
      <c r="HM94" s="179"/>
      <c r="HN94" s="179"/>
      <c r="HO94" s="179"/>
      <c r="HP94" s="179"/>
      <c r="HQ94" s="179"/>
      <c r="HR94" s="179"/>
      <c r="HS94" s="179"/>
      <c r="HT94" s="179"/>
      <c r="HU94" s="179"/>
      <c r="HV94" s="179"/>
      <c r="HW94" s="179"/>
      <c r="HX94" s="179"/>
      <c r="HY94" s="179"/>
      <c r="HZ94" s="179"/>
      <c r="IA94" s="179"/>
      <c r="IB94" s="179"/>
      <c r="IC94" s="179"/>
      <c r="ID94" s="179"/>
      <c r="IE94" s="179"/>
      <c r="IF94" s="179"/>
      <c r="IG94" s="179"/>
      <c r="IH94" s="179"/>
      <c r="II94" s="179"/>
      <c r="IJ94" s="179"/>
      <c r="IK94" s="179"/>
      <c r="IL94" s="179"/>
      <c r="IM94" s="179"/>
      <c r="IN94" s="179"/>
      <c r="IO94" s="179"/>
      <c r="IP94" s="179"/>
      <c r="IQ94" s="179"/>
    </row>
    <row r="95" spans="1:251">
      <c r="A95" s="181" t="s">
        <v>1617</v>
      </c>
      <c r="B95" s="194">
        <v>45780.25</v>
      </c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9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79"/>
      <c r="CS95" s="179"/>
      <c r="CT95" s="179"/>
      <c r="CU95" s="179"/>
      <c r="CV95" s="179"/>
      <c r="CW95" s="179"/>
      <c r="CX95" s="179"/>
      <c r="CY95" s="179"/>
      <c r="CZ95" s="179"/>
      <c r="DA95" s="179"/>
      <c r="DB95" s="179"/>
      <c r="DC95" s="179"/>
      <c r="DD95" s="179"/>
      <c r="DE95" s="179"/>
      <c r="DF95" s="179"/>
      <c r="DG95" s="179"/>
      <c r="DH95" s="179"/>
      <c r="DI95" s="179"/>
      <c r="DJ95" s="179"/>
      <c r="DK95" s="179"/>
      <c r="DL95" s="179"/>
      <c r="DM95" s="179"/>
      <c r="DN95" s="179"/>
      <c r="DO95" s="179"/>
      <c r="DP95" s="179"/>
      <c r="DQ95" s="179"/>
      <c r="DR95" s="179"/>
      <c r="DS95" s="179"/>
      <c r="DT95" s="179"/>
      <c r="DU95" s="179"/>
      <c r="DV95" s="179"/>
      <c r="DW95" s="179"/>
      <c r="DX95" s="179"/>
      <c r="DY95" s="179"/>
      <c r="DZ95" s="179"/>
      <c r="EA95" s="179"/>
      <c r="EB95" s="179"/>
      <c r="EC95" s="179"/>
      <c r="ED95" s="179"/>
      <c r="EE95" s="179"/>
      <c r="EF95" s="179"/>
      <c r="EG95" s="179"/>
      <c r="EH95" s="179"/>
      <c r="EI95" s="179"/>
      <c r="EJ95" s="179"/>
      <c r="EK95" s="179"/>
      <c r="EL95" s="179"/>
      <c r="EM95" s="179"/>
      <c r="EN95" s="179"/>
      <c r="EO95" s="179"/>
      <c r="EP95" s="179"/>
      <c r="EQ95" s="179"/>
      <c r="ER95" s="179"/>
      <c r="ES95" s="179"/>
      <c r="ET95" s="179"/>
      <c r="EU95" s="179"/>
      <c r="EV95" s="179"/>
      <c r="EW95" s="179"/>
      <c r="EX95" s="179"/>
      <c r="EY95" s="179"/>
      <c r="EZ95" s="179"/>
      <c r="FA95" s="179"/>
      <c r="FB95" s="179"/>
      <c r="FC95" s="179"/>
      <c r="FD95" s="179"/>
      <c r="FE95" s="179"/>
      <c r="FF95" s="179"/>
      <c r="FG95" s="179"/>
      <c r="FH95" s="179"/>
      <c r="FI95" s="179"/>
      <c r="FJ95" s="179"/>
      <c r="FK95" s="179"/>
      <c r="FL95" s="179"/>
      <c r="FM95" s="179"/>
      <c r="FN95" s="179"/>
      <c r="FO95" s="179"/>
      <c r="FP95" s="179"/>
      <c r="FQ95" s="179"/>
      <c r="FR95" s="179"/>
      <c r="FS95" s="179"/>
      <c r="FT95" s="179"/>
      <c r="FU95" s="179"/>
      <c r="FV95" s="179"/>
      <c r="FW95" s="179"/>
      <c r="FX95" s="179"/>
      <c r="FY95" s="179"/>
      <c r="FZ95" s="179"/>
      <c r="GA95" s="179"/>
      <c r="GB95" s="179"/>
      <c r="GC95" s="179"/>
      <c r="GD95" s="179"/>
      <c r="GE95" s="179"/>
      <c r="GF95" s="179"/>
      <c r="GG95" s="179"/>
      <c r="GH95" s="179"/>
      <c r="GI95" s="179"/>
      <c r="GJ95" s="179"/>
      <c r="GK95" s="179"/>
      <c r="GL95" s="179"/>
      <c r="GM95" s="179"/>
      <c r="GN95" s="179"/>
      <c r="GO95" s="179"/>
      <c r="GP95" s="179"/>
      <c r="GQ95" s="179"/>
      <c r="GR95" s="179"/>
      <c r="GS95" s="179"/>
      <c r="GT95" s="179"/>
      <c r="GU95" s="179"/>
      <c r="GV95" s="179"/>
      <c r="GW95" s="179"/>
      <c r="GX95" s="179"/>
      <c r="GY95" s="179"/>
      <c r="GZ95" s="179"/>
      <c r="HA95" s="179"/>
      <c r="HB95" s="179"/>
      <c r="HC95" s="179"/>
      <c r="HD95" s="179"/>
      <c r="HE95" s="179"/>
      <c r="HF95" s="179"/>
      <c r="HG95" s="179"/>
      <c r="HH95" s="179"/>
      <c r="HI95" s="179"/>
      <c r="HJ95" s="179"/>
      <c r="HK95" s="179"/>
      <c r="HL95" s="179"/>
      <c r="HM95" s="179"/>
      <c r="HN95" s="179"/>
      <c r="HO95" s="179"/>
      <c r="HP95" s="179"/>
      <c r="HQ95" s="179"/>
      <c r="HR95" s="179"/>
      <c r="HS95" s="179"/>
      <c r="HT95" s="179"/>
      <c r="HU95" s="179"/>
      <c r="HV95" s="179"/>
      <c r="HW95" s="179"/>
      <c r="HX95" s="179"/>
      <c r="HY95" s="179"/>
      <c r="HZ95" s="179"/>
      <c r="IA95" s="179"/>
      <c r="IB95" s="179"/>
      <c r="IC95" s="179"/>
      <c r="ID95" s="179"/>
      <c r="IE95" s="179"/>
      <c r="IF95" s="179"/>
      <c r="IG95" s="179"/>
      <c r="IH95" s="179"/>
      <c r="II95" s="179"/>
      <c r="IJ95" s="179"/>
      <c r="IK95" s="179"/>
      <c r="IL95" s="179"/>
      <c r="IM95" s="179"/>
      <c r="IN95" s="179"/>
      <c r="IO95" s="179"/>
      <c r="IP95" s="179"/>
      <c r="IQ95" s="179"/>
    </row>
    <row r="96" spans="1:251">
      <c r="A96" s="181" t="s">
        <v>1613</v>
      </c>
      <c r="B96" s="194">
        <f>B79-B81-B95</f>
        <v>-101660.067118156</v>
      </c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/>
      <c r="CC96" s="179"/>
      <c r="CD96" s="179"/>
      <c r="CE96" s="179"/>
      <c r="CF96" s="179"/>
      <c r="CG96" s="179"/>
      <c r="CH96" s="179"/>
      <c r="CI96" s="179"/>
      <c r="CJ96" s="179"/>
      <c r="CK96" s="179"/>
      <c r="CL96" s="179"/>
      <c r="CM96" s="179"/>
      <c r="CN96" s="179"/>
      <c r="CO96" s="179"/>
      <c r="CP96" s="179"/>
      <c r="CQ96" s="179"/>
      <c r="CR96" s="179"/>
      <c r="CS96" s="179"/>
      <c r="CT96" s="179"/>
      <c r="CU96" s="179"/>
      <c r="CV96" s="179"/>
      <c r="CW96" s="179"/>
      <c r="CX96" s="179"/>
      <c r="CY96" s="179"/>
      <c r="CZ96" s="179"/>
      <c r="DA96" s="179"/>
      <c r="DB96" s="179"/>
      <c r="DC96" s="179"/>
      <c r="DD96" s="179"/>
      <c r="DE96" s="179"/>
      <c r="DF96" s="179"/>
      <c r="DG96" s="179"/>
      <c r="DH96" s="179"/>
      <c r="DI96" s="179"/>
      <c r="DJ96" s="179"/>
      <c r="DK96" s="179"/>
      <c r="DL96" s="179"/>
      <c r="DM96" s="179"/>
      <c r="DN96" s="179"/>
      <c r="DO96" s="179"/>
      <c r="DP96" s="179"/>
      <c r="DQ96" s="179"/>
      <c r="DR96" s="179"/>
      <c r="DS96" s="179"/>
      <c r="DT96" s="179"/>
      <c r="DU96" s="179"/>
      <c r="DV96" s="179"/>
      <c r="DW96" s="179"/>
      <c r="DX96" s="179"/>
      <c r="DY96" s="179"/>
      <c r="DZ96" s="179"/>
      <c r="EA96" s="179"/>
      <c r="EB96" s="179"/>
      <c r="EC96" s="179"/>
      <c r="ED96" s="179"/>
      <c r="EE96" s="179"/>
      <c r="EF96" s="179"/>
      <c r="EG96" s="179"/>
      <c r="EH96" s="179"/>
      <c r="EI96" s="179"/>
      <c r="EJ96" s="179"/>
      <c r="EK96" s="179"/>
      <c r="EL96" s="179"/>
      <c r="EM96" s="179"/>
      <c r="EN96" s="179"/>
      <c r="EO96" s="179"/>
      <c r="EP96" s="179"/>
      <c r="EQ96" s="179"/>
      <c r="ER96" s="179"/>
      <c r="ES96" s="179"/>
      <c r="ET96" s="179"/>
      <c r="EU96" s="179"/>
      <c r="EV96" s="179"/>
      <c r="EW96" s="179"/>
      <c r="EX96" s="179"/>
      <c r="EY96" s="179"/>
      <c r="EZ96" s="179"/>
      <c r="FA96" s="179"/>
      <c r="FB96" s="179"/>
      <c r="FC96" s="179"/>
      <c r="FD96" s="179"/>
      <c r="FE96" s="179"/>
      <c r="FF96" s="179"/>
      <c r="FG96" s="179"/>
      <c r="FH96" s="179"/>
      <c r="FI96" s="179"/>
      <c r="FJ96" s="179"/>
      <c r="FK96" s="179"/>
      <c r="FL96" s="179"/>
      <c r="FM96" s="179"/>
      <c r="FN96" s="179"/>
      <c r="FO96" s="179"/>
      <c r="FP96" s="179"/>
      <c r="FQ96" s="179"/>
      <c r="FR96" s="179"/>
      <c r="FS96" s="179"/>
      <c r="FT96" s="179"/>
      <c r="FU96" s="179"/>
      <c r="FV96" s="179"/>
      <c r="FW96" s="179"/>
      <c r="FX96" s="179"/>
      <c r="FY96" s="179"/>
      <c r="FZ96" s="179"/>
      <c r="GA96" s="179"/>
      <c r="GB96" s="179"/>
      <c r="GC96" s="179"/>
      <c r="GD96" s="179"/>
      <c r="GE96" s="179"/>
      <c r="GF96" s="179"/>
      <c r="GG96" s="179"/>
      <c r="GH96" s="179"/>
      <c r="GI96" s="179"/>
      <c r="GJ96" s="179"/>
      <c r="GK96" s="179"/>
      <c r="GL96" s="179"/>
      <c r="GM96" s="179"/>
      <c r="GN96" s="179"/>
      <c r="GO96" s="179"/>
      <c r="GP96" s="179"/>
      <c r="GQ96" s="179"/>
      <c r="GR96" s="179"/>
      <c r="GS96" s="179"/>
      <c r="GT96" s="179"/>
      <c r="GU96" s="179"/>
      <c r="GV96" s="179"/>
      <c r="GW96" s="179"/>
      <c r="GX96" s="179"/>
      <c r="GY96" s="179"/>
      <c r="GZ96" s="179"/>
      <c r="HA96" s="179"/>
      <c r="HB96" s="179"/>
      <c r="HC96" s="179"/>
      <c r="HD96" s="179"/>
      <c r="HE96" s="179"/>
      <c r="HF96" s="179"/>
      <c r="HG96" s="179"/>
      <c r="HH96" s="179"/>
      <c r="HI96" s="179"/>
      <c r="HJ96" s="179"/>
      <c r="HK96" s="179"/>
      <c r="HL96" s="179"/>
      <c r="HM96" s="179"/>
      <c r="HN96" s="179"/>
      <c r="HO96" s="179"/>
      <c r="HP96" s="179"/>
      <c r="HQ96" s="179"/>
      <c r="HR96" s="179"/>
      <c r="HS96" s="179"/>
      <c r="HT96" s="179"/>
      <c r="HU96" s="179"/>
      <c r="HV96" s="179"/>
      <c r="HW96" s="179"/>
      <c r="HX96" s="179"/>
      <c r="HY96" s="179"/>
      <c r="HZ96" s="179"/>
      <c r="IA96" s="179"/>
      <c r="IB96" s="179"/>
      <c r="IC96" s="179"/>
      <c r="ID96" s="179"/>
      <c r="IE96" s="179"/>
      <c r="IF96" s="179"/>
      <c r="IG96" s="179"/>
      <c r="IH96" s="179"/>
      <c r="II96" s="179"/>
      <c r="IJ96" s="179"/>
      <c r="IK96" s="179"/>
      <c r="IL96" s="179"/>
      <c r="IM96" s="179"/>
      <c r="IN96" s="179"/>
      <c r="IO96" s="179"/>
      <c r="IP96" s="179"/>
      <c r="IQ96" s="179"/>
    </row>
    <row r="97" spans="1:25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79"/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79"/>
      <c r="CM97" s="179"/>
      <c r="CN97" s="179"/>
      <c r="CO97" s="179"/>
      <c r="CP97" s="179"/>
      <c r="CQ97" s="179"/>
      <c r="CR97" s="179"/>
      <c r="CS97" s="179"/>
      <c r="CT97" s="179"/>
      <c r="CU97" s="179"/>
      <c r="CV97" s="179"/>
      <c r="CW97" s="179"/>
      <c r="CX97" s="179"/>
      <c r="CY97" s="179"/>
      <c r="CZ97" s="179"/>
      <c r="DA97" s="179"/>
      <c r="DB97" s="179"/>
      <c r="DC97" s="179"/>
      <c r="DD97" s="179"/>
      <c r="DE97" s="179"/>
      <c r="DF97" s="179"/>
      <c r="DG97" s="179"/>
      <c r="DH97" s="179"/>
      <c r="DI97" s="179"/>
      <c r="DJ97" s="179"/>
      <c r="DK97" s="179"/>
      <c r="DL97" s="179"/>
      <c r="DM97" s="179"/>
      <c r="DN97" s="179"/>
      <c r="DO97" s="179"/>
      <c r="DP97" s="179"/>
      <c r="DQ97" s="179"/>
      <c r="DR97" s="179"/>
      <c r="DS97" s="179"/>
      <c r="DT97" s="179"/>
      <c r="DU97" s="179"/>
      <c r="DV97" s="179"/>
      <c r="DW97" s="179"/>
      <c r="DX97" s="179"/>
      <c r="DY97" s="179"/>
      <c r="DZ97" s="179"/>
      <c r="EA97" s="179"/>
      <c r="EB97" s="179"/>
      <c r="EC97" s="179"/>
      <c r="ED97" s="179"/>
      <c r="EE97" s="179"/>
      <c r="EF97" s="179"/>
      <c r="EG97" s="179"/>
      <c r="EH97" s="179"/>
      <c r="EI97" s="179"/>
      <c r="EJ97" s="179"/>
      <c r="EK97" s="179"/>
      <c r="EL97" s="179"/>
      <c r="EM97" s="179"/>
      <c r="EN97" s="179"/>
      <c r="EO97" s="179"/>
      <c r="EP97" s="179"/>
      <c r="EQ97" s="179"/>
      <c r="ER97" s="179"/>
      <c r="ES97" s="179"/>
      <c r="ET97" s="179"/>
      <c r="EU97" s="179"/>
      <c r="EV97" s="179"/>
      <c r="EW97" s="179"/>
      <c r="EX97" s="179"/>
      <c r="EY97" s="179"/>
      <c r="EZ97" s="179"/>
      <c r="FA97" s="179"/>
      <c r="FB97" s="179"/>
      <c r="FC97" s="179"/>
      <c r="FD97" s="179"/>
      <c r="FE97" s="179"/>
      <c r="FF97" s="179"/>
      <c r="FG97" s="179"/>
      <c r="FH97" s="179"/>
      <c r="FI97" s="179"/>
      <c r="FJ97" s="179"/>
      <c r="FK97" s="179"/>
      <c r="FL97" s="179"/>
      <c r="FM97" s="179"/>
      <c r="FN97" s="179"/>
      <c r="FO97" s="179"/>
      <c r="FP97" s="179"/>
      <c r="FQ97" s="179"/>
      <c r="FR97" s="179"/>
      <c r="FS97" s="179"/>
      <c r="FT97" s="179"/>
      <c r="FU97" s="179"/>
      <c r="FV97" s="179"/>
      <c r="FW97" s="179"/>
      <c r="FX97" s="179"/>
      <c r="FY97" s="179"/>
      <c r="FZ97" s="179"/>
      <c r="GA97" s="179"/>
      <c r="GB97" s="179"/>
      <c r="GC97" s="179"/>
      <c r="GD97" s="179"/>
      <c r="GE97" s="179"/>
      <c r="GF97" s="179"/>
      <c r="GG97" s="179"/>
      <c r="GH97" s="179"/>
      <c r="GI97" s="179"/>
      <c r="GJ97" s="179"/>
      <c r="GK97" s="179"/>
      <c r="GL97" s="179"/>
      <c r="GM97" s="179"/>
      <c r="GN97" s="179"/>
      <c r="GO97" s="179"/>
      <c r="GP97" s="179"/>
      <c r="GQ97" s="179"/>
      <c r="GR97" s="179"/>
      <c r="GS97" s="179"/>
      <c r="GT97" s="179"/>
      <c r="GU97" s="179"/>
      <c r="GV97" s="179"/>
      <c r="GW97" s="179"/>
      <c r="GX97" s="179"/>
      <c r="GY97" s="179"/>
      <c r="GZ97" s="179"/>
      <c r="HA97" s="179"/>
      <c r="HB97" s="179"/>
      <c r="HC97" s="179"/>
      <c r="HD97" s="179"/>
      <c r="HE97" s="179"/>
      <c r="HF97" s="179"/>
      <c r="HG97" s="179"/>
      <c r="HH97" s="179"/>
      <c r="HI97" s="179"/>
      <c r="HJ97" s="179"/>
      <c r="HK97" s="179"/>
      <c r="HL97" s="179"/>
      <c r="HM97" s="179"/>
      <c r="HN97" s="179"/>
      <c r="HO97" s="179"/>
      <c r="HP97" s="179"/>
      <c r="HQ97" s="179"/>
      <c r="HR97" s="179"/>
      <c r="HS97" s="179"/>
      <c r="HT97" s="179"/>
      <c r="HU97" s="179"/>
      <c r="HV97" s="179"/>
      <c r="HW97" s="179"/>
      <c r="HX97" s="179"/>
      <c r="HY97" s="179"/>
      <c r="HZ97" s="179"/>
      <c r="IA97" s="179"/>
      <c r="IB97" s="179"/>
      <c r="IC97" s="179"/>
      <c r="ID97" s="179"/>
      <c r="IE97" s="179"/>
      <c r="IF97" s="179"/>
      <c r="IG97" s="179"/>
      <c r="IH97" s="179"/>
      <c r="II97" s="179"/>
      <c r="IJ97" s="179"/>
      <c r="IK97" s="179"/>
      <c r="IL97" s="179"/>
      <c r="IM97" s="179"/>
      <c r="IN97" s="179"/>
      <c r="IO97" s="179"/>
      <c r="IP97" s="179"/>
      <c r="IQ97" s="179"/>
    </row>
    <row r="98" spans="1:251">
      <c r="A98" s="448" t="s">
        <v>605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9"/>
      <c r="BW98" s="179"/>
      <c r="BX98" s="179"/>
      <c r="BY98" s="179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79"/>
      <c r="CP98" s="179"/>
      <c r="CQ98" s="179"/>
      <c r="CR98" s="179"/>
      <c r="CS98" s="179"/>
      <c r="CT98" s="179"/>
      <c r="CU98" s="179"/>
      <c r="CV98" s="179"/>
      <c r="CW98" s="179"/>
      <c r="CX98" s="179"/>
      <c r="CY98" s="179"/>
      <c r="CZ98" s="179"/>
      <c r="DA98" s="179"/>
      <c r="DB98" s="179"/>
      <c r="DC98" s="179"/>
      <c r="DD98" s="179"/>
      <c r="DE98" s="179"/>
      <c r="DF98" s="179"/>
      <c r="DG98" s="179"/>
      <c r="DH98" s="179"/>
      <c r="DI98" s="179"/>
      <c r="DJ98" s="179"/>
      <c r="DK98" s="179"/>
      <c r="DL98" s="179"/>
      <c r="DM98" s="179"/>
      <c r="DN98" s="179"/>
      <c r="DO98" s="179"/>
      <c r="DP98" s="179"/>
      <c r="DQ98" s="179"/>
      <c r="DR98" s="179"/>
      <c r="DS98" s="179"/>
      <c r="DT98" s="179"/>
      <c r="DU98" s="179"/>
      <c r="DV98" s="179"/>
      <c r="DW98" s="179"/>
      <c r="DX98" s="179"/>
      <c r="DY98" s="179"/>
      <c r="DZ98" s="179"/>
      <c r="EA98" s="179"/>
      <c r="EB98" s="179"/>
      <c r="EC98" s="179"/>
      <c r="ED98" s="179"/>
      <c r="EE98" s="179"/>
      <c r="EF98" s="179"/>
      <c r="EG98" s="179"/>
      <c r="EH98" s="179"/>
      <c r="EI98" s="179"/>
      <c r="EJ98" s="179"/>
      <c r="EK98" s="179"/>
      <c r="EL98" s="179"/>
      <c r="EM98" s="179"/>
      <c r="EN98" s="179"/>
      <c r="EO98" s="179"/>
      <c r="EP98" s="179"/>
      <c r="EQ98" s="179"/>
      <c r="ER98" s="179"/>
      <c r="ES98" s="179"/>
      <c r="ET98" s="179"/>
      <c r="EU98" s="179"/>
      <c r="EV98" s="179"/>
      <c r="EW98" s="179"/>
      <c r="EX98" s="179"/>
      <c r="EY98" s="179"/>
      <c r="EZ98" s="179"/>
      <c r="FA98" s="179"/>
      <c r="FB98" s="179"/>
      <c r="FC98" s="179"/>
      <c r="FD98" s="179"/>
      <c r="FE98" s="179"/>
      <c r="FF98" s="179"/>
      <c r="FG98" s="179"/>
      <c r="FH98" s="179"/>
      <c r="FI98" s="179"/>
      <c r="FJ98" s="179"/>
      <c r="FK98" s="179"/>
      <c r="FL98" s="179"/>
      <c r="FM98" s="179"/>
      <c r="FN98" s="179"/>
      <c r="FO98" s="179"/>
      <c r="FP98" s="179"/>
      <c r="FQ98" s="179"/>
      <c r="FR98" s="179"/>
      <c r="FS98" s="179"/>
      <c r="FT98" s="179"/>
      <c r="FU98" s="179"/>
      <c r="FV98" s="179"/>
      <c r="FW98" s="179"/>
      <c r="FX98" s="179"/>
      <c r="FY98" s="179"/>
      <c r="FZ98" s="179"/>
      <c r="GA98" s="179"/>
      <c r="GB98" s="179"/>
      <c r="GC98" s="179"/>
      <c r="GD98" s="179"/>
      <c r="GE98" s="179"/>
      <c r="GF98" s="179"/>
      <c r="GG98" s="179"/>
      <c r="GH98" s="179"/>
      <c r="GI98" s="179"/>
      <c r="GJ98" s="179"/>
      <c r="GK98" s="179"/>
      <c r="GL98" s="179"/>
      <c r="GM98" s="179"/>
      <c r="GN98" s="179"/>
      <c r="GO98" s="179"/>
      <c r="GP98" s="179"/>
      <c r="GQ98" s="179"/>
      <c r="GR98" s="179"/>
      <c r="GS98" s="179"/>
      <c r="GT98" s="179"/>
      <c r="GU98" s="179"/>
      <c r="GV98" s="179"/>
      <c r="GW98" s="179"/>
      <c r="GX98" s="179"/>
      <c r="GY98" s="179"/>
      <c r="GZ98" s="179"/>
      <c r="HA98" s="179"/>
      <c r="HB98" s="179"/>
      <c r="HC98" s="179"/>
      <c r="HD98" s="179"/>
      <c r="HE98" s="179"/>
      <c r="HF98" s="179"/>
      <c r="HG98" s="179"/>
      <c r="HH98" s="179"/>
      <c r="HI98" s="179"/>
      <c r="HJ98" s="179"/>
      <c r="HK98" s="179"/>
      <c r="HL98" s="179"/>
      <c r="HM98" s="179"/>
      <c r="HN98" s="179"/>
      <c r="HO98" s="179"/>
      <c r="HP98" s="179"/>
      <c r="HQ98" s="179"/>
      <c r="HR98" s="179"/>
      <c r="HS98" s="179"/>
      <c r="HT98" s="179"/>
      <c r="HU98" s="179"/>
      <c r="HV98" s="179"/>
      <c r="HW98" s="179"/>
      <c r="HX98" s="179"/>
      <c r="HY98" s="179"/>
      <c r="HZ98" s="179"/>
      <c r="IA98" s="179"/>
      <c r="IB98" s="179"/>
      <c r="IC98" s="179"/>
      <c r="ID98" s="179"/>
      <c r="IE98" s="179"/>
      <c r="IF98" s="179"/>
      <c r="IG98" s="179"/>
      <c r="IH98" s="179"/>
      <c r="II98" s="179"/>
      <c r="IJ98" s="179"/>
      <c r="IK98" s="179"/>
      <c r="IL98" s="179"/>
      <c r="IM98" s="179"/>
      <c r="IN98" s="179"/>
      <c r="IO98" s="179"/>
      <c r="IP98" s="179"/>
      <c r="IQ98" s="179"/>
    </row>
    <row r="100" spans="1:251">
      <c r="A100" s="321" t="s">
        <v>1612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8"/>
  <sheetViews>
    <sheetView topLeftCell="A55" workbookViewId="0">
      <selection activeCell="A55" sqref="A55:B84"/>
    </sheetView>
  </sheetViews>
  <sheetFormatPr defaultRowHeight="15"/>
  <cols>
    <col min="1" max="1" width="87" customWidth="1"/>
    <col min="2" max="2" width="16.5703125" customWidth="1"/>
  </cols>
  <sheetData>
    <row r="1" spans="1:3" ht="15.75">
      <c r="A1" s="701" t="s">
        <v>364</v>
      </c>
      <c r="B1" s="701"/>
    </row>
    <row r="2" spans="1:3" ht="15.75">
      <c r="A2" s="702" t="s">
        <v>1578</v>
      </c>
      <c r="B2" s="702"/>
    </row>
    <row r="3" spans="1:3" s="55" customFormat="1" ht="15.75">
      <c r="A3" s="702" t="s">
        <v>1631</v>
      </c>
      <c r="B3" s="702"/>
    </row>
    <row r="4" spans="1:3" s="55" customFormat="1" ht="15.75">
      <c r="A4" s="126"/>
      <c r="B4" s="74"/>
    </row>
    <row r="5" spans="1:3" ht="30.75" thickBot="1">
      <c r="A5" s="480" t="s">
        <v>229</v>
      </c>
      <c r="B5" s="82" t="s">
        <v>232</v>
      </c>
    </row>
    <row r="6" spans="1:3" ht="15.75" thickBot="1">
      <c r="A6" s="449" t="s">
        <v>57</v>
      </c>
      <c r="B6" s="72"/>
    </row>
    <row r="7" spans="1:3" s="73" customFormat="1" ht="28.5">
      <c r="A7" s="482" t="s">
        <v>1675</v>
      </c>
      <c r="B7" s="72">
        <v>12</v>
      </c>
      <c r="C7" s="73">
        <v>1</v>
      </c>
    </row>
    <row r="8" spans="1:3" s="73" customFormat="1" ht="28.5">
      <c r="A8" s="400" t="s">
        <v>1681</v>
      </c>
      <c r="B8" s="129">
        <v>6</v>
      </c>
      <c r="C8" s="73">
        <v>1</v>
      </c>
    </row>
    <row r="9" spans="1:3" s="73" customFormat="1" ht="18" customHeight="1" thickBot="1">
      <c r="A9" s="262" t="s">
        <v>1682</v>
      </c>
      <c r="B9" s="129">
        <v>4</v>
      </c>
      <c r="C9" s="73">
        <v>1</v>
      </c>
    </row>
    <row r="10" spans="1:3" s="73" customFormat="1" ht="27.75" customHeight="1" thickBot="1">
      <c r="A10" s="262" t="s">
        <v>1685</v>
      </c>
      <c r="B10" s="129">
        <v>2</v>
      </c>
      <c r="C10" s="73">
        <v>1</v>
      </c>
    </row>
    <row r="11" spans="1:3" s="73" customFormat="1">
      <c r="A11" s="482" t="s">
        <v>1688</v>
      </c>
      <c r="B11" s="72">
        <v>6</v>
      </c>
      <c r="C11" s="73">
        <v>1</v>
      </c>
    </row>
    <row r="12" spans="1:3" s="73" customFormat="1">
      <c r="A12" s="482" t="s">
        <v>1689</v>
      </c>
      <c r="B12" s="72">
        <v>1.5</v>
      </c>
      <c r="C12" s="73">
        <v>1</v>
      </c>
    </row>
    <row r="13" spans="1:3" s="73" customFormat="1">
      <c r="A13" s="409" t="s">
        <v>1690</v>
      </c>
      <c r="B13" s="72"/>
      <c r="C13" s="73">
        <v>1</v>
      </c>
    </row>
    <row r="14" spans="1:3" s="73" customFormat="1">
      <c r="A14" s="483" t="s">
        <v>1710</v>
      </c>
      <c r="B14" s="72">
        <v>2</v>
      </c>
      <c r="C14" s="73">
        <v>1</v>
      </c>
    </row>
    <row r="15" spans="1:3" s="73" customFormat="1">
      <c r="A15" s="483" t="s">
        <v>1713</v>
      </c>
      <c r="B15" s="72">
        <v>4</v>
      </c>
      <c r="C15" s="73">
        <v>1</v>
      </c>
    </row>
    <row r="16" spans="1:3">
      <c r="A16" s="452" t="s">
        <v>66</v>
      </c>
      <c r="B16" s="72"/>
    </row>
    <row r="17" spans="1:3" s="73" customFormat="1" ht="29.25" customHeight="1">
      <c r="A17" s="484" t="s">
        <v>1708</v>
      </c>
      <c r="B17" s="72">
        <v>2.5</v>
      </c>
      <c r="C17" s="73">
        <v>1</v>
      </c>
    </row>
    <row r="18" spans="1:3">
      <c r="A18" s="485" t="s">
        <v>590</v>
      </c>
      <c r="B18" s="72"/>
    </row>
    <row r="19" spans="1:3" s="73" customFormat="1" ht="28.5">
      <c r="A19" s="400" t="s">
        <v>1673</v>
      </c>
      <c r="B19" s="72">
        <v>3</v>
      </c>
      <c r="C19" s="73">
        <v>1</v>
      </c>
    </row>
    <row r="20" spans="1:3" s="73" customFormat="1" ht="28.5">
      <c r="A20" s="400" t="s">
        <v>1674</v>
      </c>
      <c r="B20" s="72">
        <v>4</v>
      </c>
      <c r="C20" s="73">
        <v>1</v>
      </c>
    </row>
    <row r="21" spans="1:3" s="73" customFormat="1" ht="28.5">
      <c r="A21" s="226" t="s">
        <v>1679</v>
      </c>
      <c r="B21" s="72">
        <v>6</v>
      </c>
      <c r="C21" s="73">
        <v>1</v>
      </c>
    </row>
    <row r="22" spans="1:3" s="73" customFormat="1" ht="28.5" customHeight="1">
      <c r="A22" s="478" t="s">
        <v>1680</v>
      </c>
      <c r="B22" s="72">
        <v>2</v>
      </c>
      <c r="C22" s="73">
        <v>1</v>
      </c>
    </row>
    <row r="23" spans="1:3" s="73" customFormat="1" ht="22.5" customHeight="1">
      <c r="A23" s="478" t="s">
        <v>1683</v>
      </c>
      <c r="B23" s="72">
        <v>1</v>
      </c>
      <c r="C23" s="73">
        <v>1</v>
      </c>
    </row>
    <row r="24" spans="1:3" s="73" customFormat="1" ht="21" customHeight="1">
      <c r="A24" s="478" t="s">
        <v>1687</v>
      </c>
      <c r="B24" s="72">
        <v>1</v>
      </c>
      <c r="C24" s="73">
        <v>1</v>
      </c>
    </row>
    <row r="25" spans="1:3" s="73" customFormat="1">
      <c r="A25" s="400" t="s">
        <v>1692</v>
      </c>
      <c r="B25" s="72">
        <v>2</v>
      </c>
      <c r="C25" s="73">
        <v>1</v>
      </c>
    </row>
    <row r="26" spans="1:3" s="73" customFormat="1">
      <c r="A26" s="400" t="s">
        <v>1693</v>
      </c>
      <c r="B26" s="72">
        <v>2</v>
      </c>
      <c r="C26" s="73">
        <v>1</v>
      </c>
    </row>
    <row r="27" spans="1:3" s="73" customFormat="1">
      <c r="A27" s="400" t="s">
        <v>1700</v>
      </c>
      <c r="B27" s="72">
        <v>1</v>
      </c>
    </row>
    <row r="28" spans="1:3" s="73" customFormat="1" ht="31.5" customHeight="1">
      <c r="A28" s="400" t="s">
        <v>1694</v>
      </c>
      <c r="B28" s="72">
        <v>1.5</v>
      </c>
      <c r="C28" s="73">
        <v>1</v>
      </c>
    </row>
    <row r="29" spans="1:3" s="73" customFormat="1" ht="23.25" customHeight="1">
      <c r="A29" s="400" t="s">
        <v>1695</v>
      </c>
      <c r="B29" s="72">
        <v>2</v>
      </c>
      <c r="C29" s="73">
        <v>1</v>
      </c>
    </row>
    <row r="30" spans="1:3" s="73" customFormat="1" ht="33" customHeight="1">
      <c r="A30" s="478" t="s">
        <v>1696</v>
      </c>
      <c r="B30" s="72">
        <v>1.5</v>
      </c>
      <c r="C30" s="73">
        <v>1</v>
      </c>
    </row>
    <row r="31" spans="1:3" s="73" customFormat="1" ht="30.75" customHeight="1">
      <c r="A31" s="479" t="s">
        <v>1697</v>
      </c>
      <c r="B31" s="72">
        <f>4+4</f>
        <v>8</v>
      </c>
      <c r="C31" s="73">
        <v>1</v>
      </c>
    </row>
    <row r="32" spans="1:3" s="73" customFormat="1" ht="30" customHeight="1">
      <c r="A32" s="478" t="s">
        <v>1698</v>
      </c>
      <c r="B32" s="72">
        <v>3</v>
      </c>
      <c r="C32" s="73">
        <v>1</v>
      </c>
    </row>
    <row r="33" spans="1:3" s="73" customFormat="1" ht="29.25" customHeight="1">
      <c r="A33" s="478" t="s">
        <v>1699</v>
      </c>
      <c r="B33" s="72">
        <v>4</v>
      </c>
      <c r="C33" s="73">
        <v>1</v>
      </c>
    </row>
    <row r="34" spans="1:3" s="73" customFormat="1" ht="29.25" customHeight="1">
      <c r="A34" s="479" t="s">
        <v>1704</v>
      </c>
      <c r="B34" s="72">
        <v>2</v>
      </c>
      <c r="C34" s="73">
        <v>1</v>
      </c>
    </row>
    <row r="35" spans="1:3" s="73" customFormat="1" ht="29.25" customHeight="1">
      <c r="A35" s="479" t="s">
        <v>1703</v>
      </c>
      <c r="B35" s="72">
        <v>4</v>
      </c>
      <c r="C35" s="73">
        <v>1</v>
      </c>
    </row>
    <row r="36" spans="1:3" s="73" customFormat="1" ht="42.75">
      <c r="A36" s="479" t="s">
        <v>1709</v>
      </c>
      <c r="B36" s="72">
        <v>4</v>
      </c>
      <c r="C36" s="73">
        <v>1</v>
      </c>
    </row>
    <row r="37" spans="1:3" s="73" customFormat="1" ht="28.5">
      <c r="A37" s="479" t="s">
        <v>1712</v>
      </c>
      <c r="B37" s="72">
        <v>1</v>
      </c>
      <c r="C37" s="73">
        <v>1</v>
      </c>
    </row>
    <row r="38" spans="1:3" s="73" customFormat="1">
      <c r="A38" s="479" t="s">
        <v>1711</v>
      </c>
      <c r="B38" s="72">
        <v>1</v>
      </c>
      <c r="C38" s="73">
        <v>1</v>
      </c>
    </row>
    <row r="39" spans="1:3" ht="15.75" customHeight="1" thickBot="1">
      <c r="A39" s="379" t="s">
        <v>102</v>
      </c>
      <c r="B39" s="72"/>
    </row>
    <row r="40" spans="1:3" s="73" customFormat="1" ht="15" customHeight="1">
      <c r="A40" s="481" t="s">
        <v>1672</v>
      </c>
      <c r="B40" s="72">
        <v>1</v>
      </c>
      <c r="C40" s="73">
        <v>1</v>
      </c>
    </row>
    <row r="41" spans="1:3" s="73" customFormat="1" ht="30">
      <c r="A41" s="94" t="s">
        <v>1676</v>
      </c>
      <c r="B41" s="72">
        <v>1.5</v>
      </c>
      <c r="C41" s="73">
        <v>1</v>
      </c>
    </row>
    <row r="42" spans="1:3" s="73" customFormat="1">
      <c r="A42" s="400" t="s">
        <v>1677</v>
      </c>
      <c r="B42" s="72">
        <v>1</v>
      </c>
      <c r="C42" s="73">
        <v>1</v>
      </c>
    </row>
    <row r="43" spans="1:3" s="73" customFormat="1">
      <c r="A43" s="400" t="s">
        <v>1678</v>
      </c>
      <c r="B43" s="72">
        <v>1.5</v>
      </c>
      <c r="C43" s="73">
        <v>1</v>
      </c>
    </row>
    <row r="44" spans="1:3" s="73" customFormat="1" ht="28.5">
      <c r="A44" s="400" t="s">
        <v>1684</v>
      </c>
      <c r="B44" s="72">
        <v>1</v>
      </c>
      <c r="C44" s="73">
        <v>1</v>
      </c>
    </row>
    <row r="45" spans="1:3" s="73" customFormat="1" ht="17.25" customHeight="1">
      <c r="A45" s="400" t="s">
        <v>1686</v>
      </c>
      <c r="B45" s="72">
        <v>1</v>
      </c>
      <c r="C45" s="73">
        <v>1</v>
      </c>
    </row>
    <row r="46" spans="1:3" s="73" customFormat="1">
      <c r="A46" s="400" t="s">
        <v>1691</v>
      </c>
      <c r="B46" s="72">
        <v>1.5</v>
      </c>
      <c r="C46" s="73">
        <v>1</v>
      </c>
    </row>
    <row r="47" spans="1:3" s="73" customFormat="1">
      <c r="A47" s="400" t="s">
        <v>1701</v>
      </c>
      <c r="B47" s="72">
        <v>1</v>
      </c>
      <c r="C47" s="73">
        <v>1</v>
      </c>
    </row>
    <row r="48" spans="1:3" s="73" customFormat="1">
      <c r="A48" s="400" t="s">
        <v>1702</v>
      </c>
      <c r="B48" s="72">
        <v>1.5</v>
      </c>
      <c r="C48" s="73">
        <v>1</v>
      </c>
    </row>
    <row r="49" spans="1:251" s="73" customFormat="1">
      <c r="A49" s="400" t="s">
        <v>1705</v>
      </c>
      <c r="B49" s="72">
        <v>1</v>
      </c>
      <c r="C49" s="73">
        <v>1</v>
      </c>
    </row>
    <row r="50" spans="1:251" s="73" customFormat="1">
      <c r="A50" s="400" t="s">
        <v>1706</v>
      </c>
      <c r="B50" s="72">
        <v>1</v>
      </c>
      <c r="C50" s="73">
        <v>1</v>
      </c>
    </row>
    <row r="51" spans="1:251" s="73" customFormat="1">
      <c r="A51" s="400" t="s">
        <v>1707</v>
      </c>
      <c r="B51" s="72">
        <v>1</v>
      </c>
      <c r="C51" s="73">
        <v>1</v>
      </c>
    </row>
    <row r="52" spans="1:251" s="73" customFormat="1">
      <c r="A52" s="400" t="s">
        <v>1714</v>
      </c>
      <c r="B52" s="72">
        <v>1.5</v>
      </c>
      <c r="C52" s="73">
        <v>1</v>
      </c>
    </row>
    <row r="53" spans="1:251" ht="15.75" thickBot="1">
      <c r="A53" s="401" t="s">
        <v>592</v>
      </c>
      <c r="B53" s="72">
        <f>SUM(B7:B52)</f>
        <v>109.5</v>
      </c>
      <c r="C53" s="72">
        <f>SUM(C7:C52)</f>
        <v>42</v>
      </c>
    </row>
    <row r="54" spans="1:251">
      <c r="A54" s="78"/>
      <c r="B54" s="75"/>
    </row>
    <row r="55" spans="1:251" s="179" customFormat="1" ht="43.5" customHeight="1">
      <c r="A55" s="447" t="s">
        <v>1629</v>
      </c>
      <c r="IQ55"/>
    </row>
    <row r="56" spans="1:251">
      <c r="A56" s="180" t="s">
        <v>650</v>
      </c>
      <c r="B56" s="196">
        <v>721.62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9"/>
      <c r="GL56" s="179"/>
      <c r="GM56" s="179"/>
      <c r="GN56" s="179"/>
      <c r="GO56" s="179"/>
      <c r="GP56" s="179"/>
      <c r="GQ56" s="179"/>
      <c r="GR56" s="179"/>
      <c r="GS56" s="179"/>
      <c r="GT56" s="179"/>
      <c r="GU56" s="179"/>
      <c r="GV56" s="179"/>
      <c r="GW56" s="179"/>
      <c r="GX56" s="179"/>
      <c r="GY56" s="179"/>
      <c r="GZ56" s="179"/>
      <c r="HA56" s="179"/>
      <c r="HB56" s="179"/>
      <c r="HC56" s="179"/>
      <c r="HD56" s="179"/>
      <c r="HE56" s="179"/>
      <c r="HF56" s="179"/>
      <c r="HG56" s="179"/>
      <c r="HH56" s="179"/>
      <c r="HI56" s="179"/>
      <c r="HJ56" s="179"/>
      <c r="HK56" s="179"/>
      <c r="HL56" s="179"/>
      <c r="HM56" s="179"/>
      <c r="HN56" s="179"/>
      <c r="HO56" s="179"/>
      <c r="HP56" s="179"/>
      <c r="HQ56" s="179"/>
      <c r="HR56" s="179"/>
      <c r="HS56" s="179"/>
      <c r="HT56" s="179"/>
      <c r="HU56" s="179"/>
      <c r="HV56" s="179"/>
      <c r="HW56" s="179"/>
      <c r="HX56" s="179"/>
      <c r="HY56" s="179"/>
      <c r="HZ56" s="179"/>
      <c r="IA56" s="179"/>
      <c r="IB56" s="179"/>
      <c r="IC56" s="179"/>
      <c r="ID56" s="179"/>
      <c r="IE56" s="179"/>
      <c r="IF56" s="179"/>
      <c r="IG56" s="179"/>
      <c r="IH56" s="179"/>
      <c r="II56" s="179"/>
      <c r="IJ56" s="179"/>
      <c r="IK56" s="179"/>
      <c r="IL56" s="179"/>
      <c r="IM56" s="179"/>
      <c r="IN56" s="179"/>
      <c r="IO56" s="179"/>
      <c r="IP56" s="179"/>
    </row>
    <row r="57" spans="1:251">
      <c r="A57" s="180" t="s">
        <v>594</v>
      </c>
      <c r="B57" s="196">
        <v>30.24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  <c r="FL57" s="179"/>
      <c r="FM57" s="179"/>
      <c r="FN57" s="179"/>
      <c r="FO57" s="179"/>
      <c r="FP57" s="179"/>
      <c r="FQ57" s="179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9"/>
      <c r="GL57" s="179"/>
      <c r="GM57" s="179"/>
      <c r="GN57" s="179"/>
      <c r="GO57" s="179"/>
      <c r="GP57" s="179"/>
      <c r="GQ57" s="179"/>
      <c r="GR57" s="179"/>
      <c r="GS57" s="179"/>
      <c r="GT57" s="179"/>
      <c r="GU57" s="179"/>
      <c r="GV57" s="179"/>
      <c r="GW57" s="179"/>
      <c r="GX57" s="179"/>
      <c r="GY57" s="179"/>
      <c r="GZ57" s="179"/>
      <c r="HA57" s="179"/>
      <c r="HB57" s="179"/>
      <c r="HC57" s="179"/>
      <c r="HD57" s="179"/>
      <c r="HE57" s="179"/>
      <c r="HF57" s="179"/>
      <c r="HG57" s="179"/>
      <c r="HH57" s="179"/>
      <c r="HI57" s="179"/>
      <c r="HJ57" s="179"/>
      <c r="HK57" s="179"/>
      <c r="HL57" s="179"/>
      <c r="HM57" s="179"/>
      <c r="HN57" s="179"/>
      <c r="HO57" s="179"/>
      <c r="HP57" s="179"/>
      <c r="HQ57" s="179"/>
      <c r="HR57" s="179"/>
      <c r="HS57" s="179"/>
      <c r="HT57" s="179"/>
      <c r="HU57" s="179"/>
      <c r="HV57" s="179"/>
      <c r="HW57" s="179"/>
      <c r="HX57" s="179"/>
      <c r="HY57" s="179"/>
      <c r="HZ57" s="179"/>
      <c r="IA57" s="179"/>
      <c r="IB57" s="179"/>
      <c r="IC57" s="179"/>
      <c r="ID57" s="179"/>
      <c r="IE57" s="179"/>
      <c r="IF57" s="179"/>
      <c r="IG57" s="179"/>
      <c r="IH57" s="179"/>
      <c r="II57" s="179"/>
      <c r="IJ57" s="179"/>
      <c r="IK57" s="179"/>
      <c r="IL57" s="179"/>
      <c r="IM57" s="179"/>
      <c r="IN57" s="179"/>
      <c r="IO57" s="179"/>
      <c r="IP57" s="179"/>
    </row>
    <row r="58" spans="1:251" s="73" customFormat="1">
      <c r="A58" s="193" t="s">
        <v>711</v>
      </c>
      <c r="B58" s="193">
        <v>86032.03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0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0"/>
      <c r="ET58" s="230"/>
      <c r="EU58" s="230"/>
      <c r="EV58" s="230"/>
      <c r="EW58" s="230"/>
      <c r="EX58" s="230"/>
      <c r="EY58" s="230"/>
      <c r="EZ58" s="230"/>
      <c r="FA58" s="230"/>
      <c r="FB58" s="230"/>
      <c r="FC58" s="230"/>
      <c r="FD58" s="230"/>
      <c r="FE58" s="230"/>
      <c r="FF58" s="230"/>
      <c r="FG58" s="230"/>
      <c r="FH58" s="230"/>
      <c r="FI58" s="230"/>
      <c r="FJ58" s="230"/>
      <c r="FK58" s="230"/>
      <c r="FL58" s="230"/>
      <c r="FM58" s="230"/>
      <c r="FN58" s="230"/>
      <c r="FO58" s="230"/>
      <c r="FP58" s="230"/>
      <c r="FQ58" s="230"/>
      <c r="FR58" s="230"/>
      <c r="FS58" s="230"/>
      <c r="FT58" s="230"/>
      <c r="FU58" s="230"/>
      <c r="FV58" s="230"/>
      <c r="FW58" s="230"/>
      <c r="FX58" s="230"/>
      <c r="FY58" s="230"/>
      <c r="FZ58" s="230"/>
      <c r="GA58" s="230"/>
      <c r="GB58" s="230"/>
      <c r="GC58" s="230"/>
      <c r="GD58" s="230"/>
      <c r="GE58" s="230"/>
      <c r="GF58" s="230"/>
      <c r="GG58" s="230"/>
      <c r="GH58" s="230"/>
      <c r="GI58" s="230"/>
      <c r="GJ58" s="230"/>
      <c r="GK58" s="230"/>
      <c r="GL58" s="230"/>
      <c r="GM58" s="230"/>
      <c r="GN58" s="230"/>
      <c r="GO58" s="230"/>
      <c r="GP58" s="230"/>
      <c r="GQ58" s="230"/>
      <c r="GR58" s="230"/>
      <c r="GS58" s="230"/>
      <c r="GT58" s="230"/>
      <c r="GU58" s="230"/>
      <c r="GV58" s="230"/>
      <c r="GW58" s="230"/>
      <c r="GX58" s="230"/>
      <c r="GY58" s="230"/>
      <c r="GZ58" s="230"/>
      <c r="HA58" s="230"/>
      <c r="HB58" s="230"/>
      <c r="HC58" s="230"/>
      <c r="HD58" s="230"/>
      <c r="HE58" s="230"/>
      <c r="HF58" s="230"/>
      <c r="HG58" s="230"/>
      <c r="HH58" s="230"/>
      <c r="HI58" s="230"/>
      <c r="HJ58" s="230"/>
      <c r="HK58" s="230"/>
      <c r="HL58" s="230"/>
      <c r="HM58" s="230"/>
      <c r="HN58" s="230"/>
      <c r="HO58" s="230"/>
      <c r="HP58" s="230"/>
      <c r="HQ58" s="230"/>
      <c r="HR58" s="230"/>
      <c r="HS58" s="230"/>
      <c r="HT58" s="230"/>
      <c r="HU58" s="230"/>
      <c r="HV58" s="230"/>
      <c r="HW58" s="230"/>
      <c r="HX58" s="230"/>
      <c r="HY58" s="230"/>
      <c r="HZ58" s="230"/>
      <c r="IA58" s="230"/>
      <c r="IB58" s="230"/>
      <c r="IC58" s="230"/>
      <c r="ID58" s="230"/>
      <c r="IE58" s="230"/>
      <c r="IF58" s="230"/>
      <c r="IG58" s="230"/>
      <c r="IH58" s="230"/>
      <c r="II58" s="230"/>
      <c r="IJ58" s="230"/>
      <c r="IK58" s="230"/>
      <c r="IL58" s="230"/>
      <c r="IM58" s="230"/>
      <c r="IN58" s="230"/>
      <c r="IO58" s="230"/>
      <c r="IP58" s="230"/>
    </row>
    <row r="59" spans="1:251" s="73" customFormat="1">
      <c r="A59" s="193" t="s">
        <v>1607</v>
      </c>
      <c r="B59" s="193">
        <v>261861.6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  <c r="DT59" s="230"/>
      <c r="DU59" s="230"/>
      <c r="DV59" s="230"/>
      <c r="DW59" s="230"/>
      <c r="DX59" s="230"/>
      <c r="DY59" s="230"/>
      <c r="DZ59" s="230"/>
      <c r="EA59" s="230"/>
      <c r="EB59" s="230"/>
      <c r="EC59" s="230"/>
      <c r="ED59" s="230"/>
      <c r="EE59" s="230"/>
      <c r="EF59" s="230"/>
      <c r="EG59" s="230"/>
      <c r="EH59" s="230"/>
      <c r="EI59" s="230"/>
      <c r="EJ59" s="230"/>
      <c r="EK59" s="230"/>
      <c r="EL59" s="230"/>
      <c r="EM59" s="230"/>
      <c r="EN59" s="230"/>
      <c r="EO59" s="230"/>
      <c r="EP59" s="230"/>
      <c r="EQ59" s="230"/>
      <c r="ER59" s="230"/>
      <c r="ES59" s="230"/>
      <c r="ET59" s="230"/>
      <c r="EU59" s="230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230"/>
      <c r="FO59" s="230"/>
      <c r="FP59" s="230"/>
      <c r="FQ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0"/>
      <c r="GD59" s="230"/>
      <c r="GE59" s="230"/>
      <c r="GF59" s="230"/>
      <c r="GG59" s="230"/>
      <c r="GH59" s="230"/>
      <c r="GI59" s="230"/>
      <c r="GJ59" s="230"/>
      <c r="GK59" s="230"/>
      <c r="GL59" s="230"/>
      <c r="GM59" s="230"/>
      <c r="GN59" s="230"/>
      <c r="GO59" s="230"/>
      <c r="GP59" s="230"/>
      <c r="GQ59" s="230"/>
      <c r="GR59" s="230"/>
      <c r="GS59" s="230"/>
      <c r="GT59" s="230"/>
      <c r="GU59" s="230"/>
      <c r="GV59" s="230"/>
      <c r="GW59" s="230"/>
      <c r="GX59" s="230"/>
      <c r="GY59" s="230"/>
      <c r="GZ59" s="230"/>
      <c r="HA59" s="230"/>
      <c r="HB59" s="230"/>
      <c r="HC59" s="230"/>
      <c r="HD59" s="230"/>
      <c r="HE59" s="230"/>
      <c r="HF59" s="230"/>
      <c r="HG59" s="230"/>
      <c r="HH59" s="230"/>
      <c r="HI59" s="230"/>
      <c r="HJ59" s="230"/>
      <c r="HK59" s="230"/>
      <c r="HL59" s="230"/>
      <c r="HM59" s="230"/>
      <c r="HN59" s="230"/>
      <c r="HO59" s="230"/>
      <c r="HP59" s="230"/>
      <c r="HQ59" s="230"/>
      <c r="HR59" s="230"/>
      <c r="HS59" s="230"/>
      <c r="HT59" s="230"/>
      <c r="HU59" s="230"/>
      <c r="HV59" s="230"/>
      <c r="HW59" s="230"/>
      <c r="HX59" s="230"/>
      <c r="HY59" s="230"/>
      <c r="HZ59" s="230"/>
      <c r="IA59" s="230"/>
      <c r="IB59" s="230"/>
      <c r="IC59" s="230"/>
      <c r="ID59" s="230"/>
      <c r="IE59" s="230"/>
      <c r="IF59" s="230"/>
      <c r="IG59" s="230"/>
      <c r="IH59" s="230"/>
      <c r="II59" s="230"/>
      <c r="IJ59" s="230"/>
      <c r="IK59" s="230"/>
      <c r="IL59" s="230"/>
      <c r="IM59" s="230"/>
      <c r="IN59" s="230"/>
      <c r="IO59" s="230"/>
      <c r="IP59" s="230"/>
    </row>
    <row r="60" spans="1:251" s="73" customFormat="1">
      <c r="A60" s="193" t="s">
        <v>1625</v>
      </c>
      <c r="B60" s="193">
        <v>534.28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  <c r="FF60" s="230"/>
      <c r="FG60" s="230"/>
      <c r="FH60" s="230"/>
      <c r="FI60" s="230"/>
      <c r="FJ60" s="230"/>
      <c r="FK60" s="230"/>
      <c r="FL60" s="230"/>
      <c r="FM60" s="230"/>
      <c r="FN60" s="230"/>
      <c r="FO60" s="230"/>
      <c r="FP60" s="230"/>
      <c r="FQ60" s="230"/>
      <c r="FR60" s="230"/>
      <c r="FS60" s="230"/>
      <c r="FT60" s="230"/>
      <c r="FU60" s="230"/>
      <c r="FV60" s="230"/>
      <c r="FW60" s="230"/>
      <c r="FX60" s="230"/>
      <c r="FY60" s="230"/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230"/>
      <c r="GK60" s="230"/>
      <c r="GL60" s="230"/>
      <c r="GM60" s="230"/>
      <c r="GN60" s="230"/>
      <c r="GO60" s="230"/>
      <c r="GP60" s="230"/>
      <c r="GQ60" s="230"/>
      <c r="GR60" s="230"/>
      <c r="GS60" s="230"/>
      <c r="GT60" s="230"/>
      <c r="GU60" s="230"/>
      <c r="GV60" s="230"/>
      <c r="GW60" s="230"/>
      <c r="GX60" s="230"/>
      <c r="GY60" s="230"/>
      <c r="GZ60" s="230"/>
      <c r="HA60" s="230"/>
      <c r="HB60" s="230"/>
      <c r="HC60" s="230"/>
      <c r="HD60" s="230"/>
      <c r="HE60" s="230"/>
      <c r="HF60" s="230"/>
      <c r="HG60" s="230"/>
      <c r="HH60" s="230"/>
      <c r="HI60" s="230"/>
      <c r="HJ60" s="230"/>
      <c r="HK60" s="230"/>
      <c r="HL60" s="230"/>
      <c r="HM60" s="230"/>
      <c r="HN60" s="230"/>
      <c r="HO60" s="230"/>
      <c r="HP60" s="230"/>
      <c r="HQ60" s="230"/>
      <c r="HR60" s="230"/>
      <c r="HS60" s="230"/>
      <c r="HT60" s="230"/>
      <c r="HU60" s="230"/>
      <c r="HV60" s="230"/>
      <c r="HW60" s="230"/>
      <c r="HX60" s="230"/>
      <c r="HY60" s="230"/>
      <c r="HZ60" s="230"/>
      <c r="IA60" s="230"/>
      <c r="IB60" s="230"/>
      <c r="IC60" s="230"/>
      <c r="ID60" s="230"/>
      <c r="IE60" s="230"/>
      <c r="IF60" s="230"/>
      <c r="IG60" s="230"/>
      <c r="IH60" s="230"/>
      <c r="II60" s="230"/>
      <c r="IJ60" s="230"/>
      <c r="IK60" s="230"/>
      <c r="IL60" s="230"/>
      <c r="IM60" s="230"/>
      <c r="IN60" s="230"/>
      <c r="IO60" s="230"/>
      <c r="IP60" s="230"/>
    </row>
    <row r="61" spans="1:251" s="73" customFormat="1">
      <c r="A61" s="193" t="s">
        <v>1619</v>
      </c>
      <c r="B61" s="193">
        <v>0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0"/>
      <c r="DX61" s="230"/>
      <c r="DY61" s="230"/>
      <c r="DZ61" s="230"/>
      <c r="EA61" s="230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0"/>
      <c r="EP61" s="230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0"/>
      <c r="FF61" s="230"/>
      <c r="FG61" s="230"/>
      <c r="FH61" s="230"/>
      <c r="FI61" s="230"/>
      <c r="FJ61" s="230"/>
      <c r="FK61" s="230"/>
      <c r="FL61" s="230"/>
      <c r="FM61" s="230"/>
      <c r="FN61" s="230"/>
      <c r="FO61" s="230"/>
      <c r="FP61" s="230"/>
      <c r="FQ61" s="230"/>
      <c r="FR61" s="230"/>
      <c r="FS61" s="230"/>
      <c r="FT61" s="230"/>
      <c r="FU61" s="230"/>
      <c r="FV61" s="230"/>
      <c r="FW61" s="230"/>
      <c r="FX61" s="230"/>
      <c r="FY61" s="230"/>
      <c r="FZ61" s="230"/>
      <c r="GA61" s="230"/>
      <c r="GB61" s="230"/>
      <c r="GC61" s="230"/>
      <c r="GD61" s="230"/>
      <c r="GE61" s="230"/>
      <c r="GF61" s="230"/>
      <c r="GG61" s="230"/>
      <c r="GH61" s="230"/>
      <c r="GI61" s="230"/>
      <c r="GJ61" s="230"/>
      <c r="GK61" s="230"/>
      <c r="GL61" s="230"/>
      <c r="GM61" s="230"/>
      <c r="GN61" s="230"/>
      <c r="GO61" s="230"/>
      <c r="GP61" s="230"/>
      <c r="GQ61" s="230"/>
      <c r="GR61" s="230"/>
      <c r="GS61" s="230"/>
      <c r="GT61" s="230"/>
      <c r="GU61" s="230"/>
      <c r="GV61" s="230"/>
      <c r="GW61" s="230"/>
      <c r="GX61" s="230"/>
      <c r="GY61" s="230"/>
      <c r="GZ61" s="230"/>
      <c r="HA61" s="230"/>
      <c r="HB61" s="230"/>
      <c r="HC61" s="230"/>
      <c r="HD61" s="230"/>
      <c r="HE61" s="230"/>
      <c r="HF61" s="230"/>
      <c r="HG61" s="230"/>
      <c r="HH61" s="230"/>
      <c r="HI61" s="230"/>
      <c r="HJ61" s="230"/>
      <c r="HK61" s="230"/>
      <c r="HL61" s="230"/>
      <c r="HM61" s="230"/>
      <c r="HN61" s="230"/>
      <c r="HO61" s="230"/>
      <c r="HP61" s="230"/>
      <c r="HQ61" s="230"/>
      <c r="HR61" s="230"/>
      <c r="HS61" s="230"/>
      <c r="HT61" s="230"/>
      <c r="HU61" s="230"/>
      <c r="HV61" s="230"/>
      <c r="HW61" s="230"/>
      <c r="HX61" s="230"/>
      <c r="HY61" s="230"/>
      <c r="HZ61" s="230"/>
      <c r="IA61" s="230"/>
      <c r="IB61" s="230"/>
      <c r="IC61" s="230"/>
      <c r="ID61" s="230"/>
      <c r="IE61" s="230"/>
      <c r="IF61" s="230"/>
      <c r="IG61" s="230"/>
      <c r="IH61" s="230"/>
      <c r="II61" s="230"/>
      <c r="IJ61" s="230"/>
      <c r="IK61" s="230"/>
      <c r="IL61" s="230"/>
      <c r="IM61" s="230"/>
      <c r="IN61" s="230"/>
      <c r="IO61" s="230"/>
      <c r="IP61" s="230"/>
    </row>
    <row r="62" spans="1:251">
      <c r="A62" s="181" t="s">
        <v>1610</v>
      </c>
      <c r="B62" s="193">
        <f>B58+B59+B60-B63+B61</f>
        <v>245831.03000000003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9"/>
      <c r="GL62" s="179"/>
      <c r="GM62" s="179"/>
      <c r="GN62" s="179"/>
      <c r="GO62" s="179"/>
      <c r="GP62" s="179"/>
      <c r="GQ62" s="179"/>
      <c r="GR62" s="179"/>
      <c r="GS62" s="179"/>
      <c r="GT62" s="179"/>
      <c r="GU62" s="179"/>
      <c r="GV62" s="179"/>
      <c r="GW62" s="179"/>
      <c r="GX62" s="179"/>
      <c r="GY62" s="179"/>
      <c r="GZ62" s="179"/>
      <c r="HA62" s="179"/>
      <c r="HB62" s="179"/>
      <c r="HC62" s="179"/>
      <c r="HD62" s="179"/>
      <c r="HE62" s="179"/>
      <c r="HF62" s="179"/>
      <c r="HG62" s="179"/>
      <c r="HH62" s="179"/>
      <c r="HI62" s="179"/>
      <c r="HJ62" s="179"/>
      <c r="HK62" s="179"/>
      <c r="HL62" s="179"/>
      <c r="HM62" s="179"/>
      <c r="HN62" s="179"/>
      <c r="HO62" s="179"/>
      <c r="HP62" s="179"/>
      <c r="HQ62" s="179"/>
      <c r="HR62" s="179"/>
      <c r="HS62" s="179"/>
      <c r="HT62" s="179"/>
      <c r="HU62" s="179"/>
      <c r="HV62" s="179"/>
      <c r="HW62" s="179"/>
      <c r="HX62" s="179"/>
      <c r="HY62" s="179"/>
      <c r="HZ62" s="179"/>
      <c r="IA62" s="179"/>
      <c r="IB62" s="179"/>
      <c r="IC62" s="179"/>
      <c r="ID62" s="179"/>
      <c r="IE62" s="179"/>
      <c r="IF62" s="179"/>
      <c r="IG62" s="179"/>
      <c r="IH62" s="179"/>
      <c r="II62" s="179"/>
      <c r="IJ62" s="179"/>
      <c r="IK62" s="179"/>
      <c r="IL62" s="179"/>
      <c r="IM62" s="179"/>
      <c r="IN62" s="179"/>
      <c r="IO62" s="179"/>
      <c r="IP62" s="179"/>
    </row>
    <row r="63" spans="1:251" s="73" customFormat="1">
      <c r="A63" s="193" t="s">
        <v>1609</v>
      </c>
      <c r="B63" s="193">
        <v>102596.88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  <c r="GJ63" s="230"/>
      <c r="GK63" s="230"/>
      <c r="GL63" s="230"/>
      <c r="GM63" s="230"/>
      <c r="GN63" s="230"/>
      <c r="GO63" s="230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30"/>
      <c r="HA63" s="230"/>
      <c r="HB63" s="230"/>
      <c r="HC63" s="230"/>
      <c r="HD63" s="230"/>
      <c r="HE63" s="230"/>
      <c r="HF63" s="230"/>
      <c r="HG63" s="230"/>
      <c r="HH63" s="230"/>
      <c r="HI63" s="230"/>
      <c r="HJ63" s="230"/>
      <c r="HK63" s="230"/>
      <c r="HL63" s="230"/>
      <c r="HM63" s="230"/>
      <c r="HN63" s="230"/>
      <c r="HO63" s="230"/>
      <c r="HP63" s="230"/>
      <c r="HQ63" s="230"/>
      <c r="HR63" s="230"/>
      <c r="HS63" s="230"/>
      <c r="HT63" s="230"/>
      <c r="HU63" s="230"/>
      <c r="HV63" s="230"/>
      <c r="HW63" s="230"/>
      <c r="HX63" s="230"/>
      <c r="HY63" s="230"/>
      <c r="HZ63" s="230"/>
      <c r="IA63" s="230"/>
      <c r="IB63" s="230"/>
      <c r="IC63" s="230"/>
      <c r="ID63" s="230"/>
      <c r="IE63" s="230"/>
      <c r="IF63" s="230"/>
      <c r="IG63" s="230"/>
      <c r="IH63" s="230"/>
      <c r="II63" s="230"/>
      <c r="IJ63" s="230"/>
      <c r="IK63" s="230"/>
      <c r="IL63" s="230"/>
      <c r="IM63" s="230"/>
      <c r="IN63" s="230"/>
      <c r="IO63" s="230"/>
      <c r="IP63" s="230"/>
    </row>
    <row r="64" spans="1:251" s="73" customFormat="1" ht="22.5" customHeight="1">
      <c r="A64" s="234" t="s">
        <v>1604</v>
      </c>
      <c r="B64" s="196">
        <f>B62</f>
        <v>245831.03000000003</v>
      </c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</row>
    <row r="65" spans="1:250">
      <c r="A65" s="179"/>
      <c r="B65" s="197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9"/>
      <c r="GL65" s="179"/>
      <c r="GM65" s="179"/>
      <c r="GN65" s="179"/>
      <c r="GO65" s="179"/>
      <c r="GP65" s="179"/>
      <c r="GQ65" s="179"/>
      <c r="GR65" s="179"/>
      <c r="GS65" s="179"/>
      <c r="GT65" s="179"/>
      <c r="GU65" s="179"/>
      <c r="GV65" s="179"/>
      <c r="GW65" s="179"/>
      <c r="GX65" s="179"/>
      <c r="GY65" s="179"/>
      <c r="GZ65" s="179"/>
      <c r="HA65" s="179"/>
      <c r="HB65" s="179"/>
      <c r="HC65" s="179"/>
      <c r="HD65" s="179"/>
      <c r="HE65" s="179"/>
      <c r="HF65" s="179"/>
      <c r="HG65" s="179"/>
      <c r="HH65" s="179"/>
      <c r="HI65" s="179"/>
      <c r="HJ65" s="179"/>
      <c r="HK65" s="179"/>
      <c r="HL65" s="179"/>
      <c r="HM65" s="179"/>
      <c r="HN65" s="179"/>
      <c r="HO65" s="179"/>
      <c r="HP65" s="179"/>
      <c r="HQ65" s="179"/>
      <c r="HR65" s="179"/>
      <c r="HS65" s="179"/>
      <c r="HT65" s="179"/>
      <c r="HU65" s="179"/>
      <c r="HV65" s="179"/>
      <c r="HW65" s="179"/>
      <c r="HX65" s="179"/>
      <c r="HY65" s="179"/>
      <c r="HZ65" s="179"/>
      <c r="IA65" s="179"/>
      <c r="IB65" s="179"/>
      <c r="IC65" s="179"/>
      <c r="ID65" s="179"/>
      <c r="IE65" s="179"/>
      <c r="IF65" s="179"/>
      <c r="IG65" s="179"/>
      <c r="IH65" s="179"/>
      <c r="II65" s="179"/>
      <c r="IJ65" s="179"/>
      <c r="IK65" s="179"/>
      <c r="IL65" s="179"/>
      <c r="IM65" s="179"/>
      <c r="IN65" s="179"/>
      <c r="IO65" s="179"/>
      <c r="IP65" s="179"/>
    </row>
    <row r="66" spans="1:250">
      <c r="A66" s="196" t="s">
        <v>1606</v>
      </c>
      <c r="B66" s="198">
        <f>B68+B71+B74+B75+B77+B79+B80+B69+B78+B72+B73+B70</f>
        <v>258591.94417681097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9"/>
      <c r="GL66" s="179"/>
      <c r="GM66" s="179"/>
      <c r="GN66" s="179"/>
      <c r="GO66" s="179"/>
      <c r="GP66" s="179"/>
      <c r="GQ66" s="179"/>
      <c r="GR66" s="179"/>
      <c r="GS66" s="179"/>
      <c r="GT66" s="179"/>
      <c r="GU66" s="179"/>
      <c r="GV66" s="179"/>
      <c r="GW66" s="179"/>
      <c r="GX66" s="179"/>
      <c r="GY66" s="179"/>
      <c r="GZ66" s="179"/>
      <c r="HA66" s="179"/>
      <c r="HB66" s="179"/>
      <c r="HC66" s="179"/>
      <c r="HD66" s="179"/>
      <c r="HE66" s="179"/>
      <c r="HF66" s="179"/>
      <c r="HG66" s="179"/>
      <c r="HH66" s="179"/>
      <c r="HI66" s="179"/>
      <c r="HJ66" s="179"/>
      <c r="HK66" s="179"/>
      <c r="HL66" s="179"/>
      <c r="HM66" s="179"/>
      <c r="HN66" s="179"/>
      <c r="HO66" s="179"/>
      <c r="HP66" s="179"/>
      <c r="HQ66" s="179"/>
      <c r="HR66" s="179"/>
      <c r="HS66" s="179"/>
      <c r="HT66" s="179"/>
      <c r="HU66" s="179"/>
      <c r="HV66" s="179"/>
      <c r="HW66" s="179"/>
      <c r="HX66" s="179"/>
      <c r="HY66" s="179"/>
      <c r="HZ66" s="179"/>
      <c r="IA66" s="179"/>
      <c r="IB66" s="179"/>
      <c r="IC66" s="179"/>
      <c r="ID66" s="179"/>
      <c r="IE66" s="179"/>
      <c r="IF66" s="179"/>
      <c r="IG66" s="179"/>
      <c r="IH66" s="179"/>
      <c r="II66" s="179"/>
      <c r="IJ66" s="179"/>
      <c r="IK66" s="179"/>
      <c r="IL66" s="179"/>
      <c r="IM66" s="179"/>
      <c r="IN66" s="179"/>
      <c r="IO66" s="179"/>
      <c r="IP66" s="179"/>
    </row>
    <row r="67" spans="1:250">
      <c r="A67" s="193" t="s">
        <v>599</v>
      </c>
      <c r="B67" s="193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79"/>
      <c r="GD67" s="179"/>
      <c r="GE67" s="179"/>
      <c r="GF67" s="179"/>
      <c r="GG67" s="179"/>
      <c r="GH67" s="179"/>
      <c r="GI67" s="179"/>
      <c r="GJ67" s="179"/>
      <c r="GK67" s="179"/>
      <c r="GL67" s="179"/>
      <c r="GM67" s="179"/>
      <c r="GN67" s="179"/>
      <c r="GO67" s="179"/>
      <c r="GP67" s="179"/>
      <c r="GQ67" s="179"/>
      <c r="GR67" s="179"/>
      <c r="GS67" s="179"/>
      <c r="GT67" s="179"/>
      <c r="GU67" s="179"/>
      <c r="GV67" s="179"/>
      <c r="GW67" s="179"/>
      <c r="GX67" s="179"/>
      <c r="GY67" s="179"/>
      <c r="GZ67" s="179"/>
      <c r="HA67" s="179"/>
      <c r="HB67" s="179"/>
      <c r="HC67" s="179"/>
      <c r="HD67" s="179"/>
      <c r="HE67" s="179"/>
      <c r="HF67" s="179"/>
      <c r="HG67" s="179"/>
      <c r="HH67" s="179"/>
      <c r="HI67" s="179"/>
      <c r="HJ67" s="179"/>
      <c r="HK67" s="179"/>
      <c r="HL67" s="179"/>
      <c r="HM67" s="179"/>
      <c r="HN67" s="179"/>
      <c r="HO67" s="179"/>
      <c r="HP67" s="179"/>
      <c r="HQ67" s="179"/>
      <c r="HR67" s="179"/>
      <c r="HS67" s="179"/>
      <c r="HT67" s="179"/>
      <c r="HU67" s="179"/>
      <c r="HV67" s="179"/>
      <c r="HW67" s="179"/>
      <c r="HX67" s="179"/>
      <c r="HY67" s="179"/>
      <c r="HZ67" s="179"/>
      <c r="IA67" s="179"/>
      <c r="IB67" s="179"/>
      <c r="IC67" s="179"/>
      <c r="ID67" s="179"/>
      <c r="IE67" s="179"/>
      <c r="IF67" s="179"/>
      <c r="IG67" s="179"/>
      <c r="IH67" s="179"/>
      <c r="II67" s="179"/>
      <c r="IJ67" s="179"/>
      <c r="IK67" s="179"/>
      <c r="IL67" s="179"/>
      <c r="IM67" s="179"/>
      <c r="IN67" s="179"/>
      <c r="IO67" s="179"/>
      <c r="IP67" s="179"/>
    </row>
    <row r="68" spans="1:250" s="73" customFormat="1">
      <c r="A68" s="193" t="s">
        <v>521</v>
      </c>
      <c r="B68" s="194">
        <f>959300/45797.5*B56*1.25</f>
        <v>18894.319176810961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  <c r="FI68" s="230"/>
      <c r="FJ68" s="230"/>
      <c r="FK68" s="230"/>
      <c r="FL68" s="230"/>
      <c r="FM68" s="230"/>
      <c r="FN68" s="230"/>
      <c r="FO68" s="230"/>
      <c r="FP68" s="230"/>
      <c r="FQ68" s="230"/>
      <c r="FR68" s="230"/>
      <c r="FS68" s="230"/>
      <c r="FT68" s="230"/>
      <c r="FU68" s="230"/>
      <c r="FV68" s="230"/>
      <c r="FW68" s="230"/>
      <c r="FX68" s="230"/>
      <c r="FY68" s="230"/>
      <c r="FZ68" s="230"/>
      <c r="GA68" s="230"/>
      <c r="GB68" s="230"/>
      <c r="GC68" s="230"/>
      <c r="GD68" s="230"/>
      <c r="GE68" s="230"/>
      <c r="GF68" s="230"/>
      <c r="GG68" s="230"/>
      <c r="GH68" s="230"/>
      <c r="GI68" s="230"/>
      <c r="GJ68" s="230"/>
      <c r="GK68" s="230"/>
      <c r="GL68" s="230"/>
      <c r="GM68" s="230"/>
      <c r="GN68" s="230"/>
      <c r="GO68" s="230"/>
      <c r="GP68" s="230"/>
      <c r="GQ68" s="230"/>
      <c r="GR68" s="230"/>
      <c r="GS68" s="230"/>
      <c r="GT68" s="230"/>
      <c r="GU68" s="230"/>
      <c r="GV68" s="230"/>
      <c r="GW68" s="230"/>
      <c r="GX68" s="230"/>
      <c r="GY68" s="230"/>
      <c r="GZ68" s="230"/>
      <c r="HA68" s="230"/>
      <c r="HB68" s="230"/>
      <c r="HC68" s="230"/>
      <c r="HD68" s="230"/>
      <c r="HE68" s="230"/>
      <c r="HF68" s="230"/>
      <c r="HG68" s="230"/>
      <c r="HH68" s="230"/>
      <c r="HI68" s="230"/>
      <c r="HJ68" s="230"/>
      <c r="HK68" s="230"/>
      <c r="HL68" s="230"/>
      <c r="HM68" s="230"/>
      <c r="HN68" s="230"/>
      <c r="HO68" s="230"/>
      <c r="HP68" s="230"/>
      <c r="HQ68" s="230"/>
      <c r="HR68" s="230"/>
      <c r="HS68" s="230"/>
      <c r="HT68" s="230"/>
      <c r="HU68" s="230"/>
      <c r="HV68" s="230"/>
      <c r="HW68" s="230"/>
      <c r="HX68" s="230"/>
      <c r="HY68" s="230"/>
      <c r="HZ68" s="230"/>
      <c r="IA68" s="230"/>
      <c r="IB68" s="230"/>
      <c r="IC68" s="230"/>
      <c r="ID68" s="230"/>
      <c r="IE68" s="230"/>
      <c r="IF68" s="230"/>
      <c r="IG68" s="230"/>
      <c r="IH68" s="230"/>
      <c r="II68" s="230"/>
      <c r="IJ68" s="230"/>
      <c r="IK68" s="230"/>
      <c r="IL68" s="230"/>
      <c r="IM68" s="230"/>
      <c r="IN68" s="230"/>
      <c r="IO68" s="230"/>
      <c r="IP68" s="230"/>
    </row>
    <row r="69" spans="1:250" s="73" customFormat="1">
      <c r="A69" s="193" t="s">
        <v>1570</v>
      </c>
      <c r="B69" s="194">
        <f>138829*1.25</f>
        <v>173536.25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0"/>
      <c r="CZ69" s="230"/>
      <c r="DA69" s="230"/>
      <c r="DB69" s="230"/>
      <c r="DC69" s="230"/>
      <c r="DD69" s="230"/>
      <c r="DE69" s="230"/>
      <c r="DF69" s="230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0"/>
      <c r="DS69" s="230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0"/>
      <c r="EF69" s="230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0"/>
      <c r="ES69" s="230"/>
      <c r="ET69" s="230"/>
      <c r="EU69" s="230"/>
      <c r="EV69" s="230"/>
      <c r="EW69" s="230"/>
      <c r="EX69" s="230"/>
      <c r="EY69" s="230"/>
      <c r="EZ69" s="230"/>
      <c r="FA69" s="230"/>
      <c r="FB69" s="230"/>
      <c r="FC69" s="230"/>
      <c r="FD69" s="230"/>
      <c r="FE69" s="230"/>
      <c r="FF69" s="230"/>
      <c r="FG69" s="230"/>
      <c r="FH69" s="230"/>
      <c r="FI69" s="230"/>
      <c r="FJ69" s="230"/>
      <c r="FK69" s="230"/>
      <c r="FL69" s="230"/>
      <c r="FM69" s="230"/>
      <c r="FN69" s="230"/>
      <c r="FO69" s="230"/>
      <c r="FP69" s="230"/>
      <c r="FQ69" s="230"/>
      <c r="FR69" s="230"/>
      <c r="FS69" s="230"/>
      <c r="FT69" s="230"/>
      <c r="FU69" s="230"/>
      <c r="FV69" s="230"/>
      <c r="FW69" s="230"/>
      <c r="FX69" s="230"/>
      <c r="FY69" s="230"/>
      <c r="FZ69" s="230"/>
      <c r="GA69" s="230"/>
      <c r="GB69" s="230"/>
      <c r="GC69" s="230"/>
      <c r="GD69" s="230"/>
      <c r="GE69" s="230"/>
      <c r="GF69" s="230"/>
      <c r="GG69" s="230"/>
      <c r="GH69" s="230"/>
      <c r="GI69" s="230"/>
      <c r="GJ69" s="230"/>
      <c r="GK69" s="230"/>
      <c r="GL69" s="230"/>
      <c r="GM69" s="230"/>
      <c r="GN69" s="230"/>
      <c r="GO69" s="230"/>
      <c r="GP69" s="230"/>
      <c r="GQ69" s="230"/>
      <c r="GR69" s="230"/>
      <c r="GS69" s="230"/>
      <c r="GT69" s="230"/>
      <c r="GU69" s="230"/>
      <c r="GV69" s="230"/>
      <c r="GW69" s="230"/>
      <c r="GX69" s="230"/>
      <c r="GY69" s="230"/>
      <c r="GZ69" s="230"/>
      <c r="HA69" s="230"/>
      <c r="HB69" s="230"/>
      <c r="HC69" s="230"/>
      <c r="HD69" s="230"/>
      <c r="HE69" s="230"/>
      <c r="HF69" s="230"/>
      <c r="HG69" s="230"/>
      <c r="HH69" s="230"/>
      <c r="HI69" s="230"/>
      <c r="HJ69" s="230"/>
      <c r="HK69" s="230"/>
      <c r="HL69" s="230"/>
      <c r="HM69" s="230"/>
      <c r="HN69" s="230"/>
      <c r="HO69" s="230"/>
      <c r="HP69" s="230"/>
      <c r="HQ69" s="230"/>
      <c r="HR69" s="230"/>
      <c r="HS69" s="230"/>
      <c r="HT69" s="230"/>
      <c r="HU69" s="230"/>
      <c r="HV69" s="230"/>
      <c r="HW69" s="230"/>
      <c r="HX69" s="230"/>
      <c r="HY69" s="230"/>
      <c r="HZ69" s="230"/>
      <c r="IA69" s="230"/>
      <c r="IB69" s="230"/>
      <c r="IC69" s="230"/>
      <c r="ID69" s="230"/>
      <c r="IE69" s="230"/>
      <c r="IF69" s="230"/>
      <c r="IG69" s="230"/>
      <c r="IH69" s="230"/>
      <c r="II69" s="230"/>
      <c r="IJ69" s="230"/>
      <c r="IK69" s="230"/>
      <c r="IL69" s="230"/>
      <c r="IM69" s="230"/>
      <c r="IN69" s="230"/>
      <c r="IO69" s="230"/>
      <c r="IP69" s="230"/>
    </row>
    <row r="70" spans="1:250" s="73" customFormat="1">
      <c r="A70" s="193" t="s">
        <v>987</v>
      </c>
      <c r="B70" s="194">
        <f>0.31*B56*12*1.25</f>
        <v>3355.5330000000004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  <c r="CM70" s="230"/>
      <c r="CN70" s="230"/>
      <c r="CO70" s="230"/>
      <c r="CP70" s="230"/>
      <c r="CQ70" s="230"/>
      <c r="CR70" s="230"/>
      <c r="CS70" s="230"/>
      <c r="CT70" s="230"/>
      <c r="CU70" s="230"/>
      <c r="CV70" s="230"/>
      <c r="CW70" s="230"/>
      <c r="CX70" s="230"/>
      <c r="CY70" s="230"/>
      <c r="CZ70" s="230"/>
      <c r="DA70" s="230"/>
      <c r="DB70" s="230"/>
      <c r="DC70" s="230"/>
      <c r="DD70" s="230"/>
      <c r="DE70" s="230"/>
      <c r="DF70" s="230"/>
      <c r="DG70" s="230"/>
      <c r="DH70" s="230"/>
      <c r="DI70" s="230"/>
      <c r="DJ70" s="230"/>
      <c r="DK70" s="230"/>
      <c r="DL70" s="230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0"/>
      <c r="DX70" s="230"/>
      <c r="DY70" s="230"/>
      <c r="DZ70" s="230"/>
      <c r="EA70" s="230"/>
      <c r="EB70" s="230"/>
      <c r="EC70" s="230"/>
      <c r="ED70" s="230"/>
      <c r="EE70" s="230"/>
      <c r="EF70" s="230"/>
      <c r="EG70" s="230"/>
      <c r="EH70" s="230"/>
      <c r="EI70" s="230"/>
      <c r="EJ70" s="230"/>
      <c r="EK70" s="230"/>
      <c r="EL70" s="230"/>
      <c r="EM70" s="230"/>
      <c r="EN70" s="230"/>
      <c r="EO70" s="230"/>
      <c r="EP70" s="230"/>
      <c r="EQ70" s="230"/>
      <c r="ER70" s="230"/>
      <c r="ES70" s="230"/>
      <c r="ET70" s="230"/>
      <c r="EU70" s="230"/>
      <c r="EV70" s="230"/>
      <c r="EW70" s="230"/>
      <c r="EX70" s="230"/>
      <c r="EY70" s="230"/>
      <c r="EZ70" s="230"/>
      <c r="FA70" s="230"/>
      <c r="FB70" s="230"/>
      <c r="FC70" s="230"/>
      <c r="FD70" s="230"/>
      <c r="FE70" s="230"/>
      <c r="FF70" s="230"/>
      <c r="FG70" s="230"/>
      <c r="FH70" s="230"/>
      <c r="FI70" s="230"/>
      <c r="FJ70" s="230"/>
      <c r="FK70" s="230"/>
      <c r="FL70" s="230"/>
      <c r="FM70" s="230"/>
      <c r="FN70" s="230"/>
      <c r="FO70" s="230"/>
      <c r="FP70" s="230"/>
      <c r="FQ70" s="230"/>
      <c r="FR70" s="230"/>
      <c r="FS70" s="230"/>
      <c r="FT70" s="230"/>
      <c r="FU70" s="230"/>
      <c r="FV70" s="230"/>
      <c r="FW70" s="230"/>
      <c r="FX70" s="230"/>
      <c r="FY70" s="230"/>
      <c r="FZ70" s="230"/>
      <c r="GA70" s="230"/>
      <c r="GB70" s="230"/>
      <c r="GC70" s="230"/>
      <c r="GD70" s="230"/>
      <c r="GE70" s="230"/>
      <c r="GF70" s="230"/>
      <c r="GG70" s="230"/>
      <c r="GH70" s="230"/>
      <c r="GI70" s="230"/>
      <c r="GJ70" s="230"/>
      <c r="GK70" s="230"/>
      <c r="GL70" s="230"/>
      <c r="GM70" s="230"/>
      <c r="GN70" s="230"/>
      <c r="GO70" s="230"/>
      <c r="GP70" s="230"/>
      <c r="GQ70" s="230"/>
      <c r="GR70" s="230"/>
      <c r="GS70" s="230"/>
      <c r="GT70" s="230"/>
      <c r="GU70" s="230"/>
      <c r="GV70" s="230"/>
      <c r="GW70" s="230"/>
      <c r="GX70" s="230"/>
      <c r="GY70" s="230"/>
      <c r="GZ70" s="230"/>
      <c r="HA70" s="230"/>
      <c r="HB70" s="230"/>
      <c r="HC70" s="230"/>
      <c r="HD70" s="230"/>
      <c r="HE70" s="230"/>
      <c r="HF70" s="230"/>
      <c r="HG70" s="230"/>
      <c r="HH70" s="230"/>
      <c r="HI70" s="230"/>
      <c r="HJ70" s="230"/>
      <c r="HK70" s="230"/>
      <c r="HL70" s="230"/>
      <c r="HM70" s="230"/>
      <c r="HN70" s="230"/>
      <c r="HO70" s="230"/>
      <c r="HP70" s="230"/>
      <c r="HQ70" s="230"/>
      <c r="HR70" s="230"/>
      <c r="HS70" s="230"/>
      <c r="HT70" s="230"/>
      <c r="HU70" s="230"/>
      <c r="HV70" s="230"/>
      <c r="HW70" s="230"/>
      <c r="HX70" s="230"/>
      <c r="HY70" s="230"/>
      <c r="HZ70" s="230"/>
      <c r="IA70" s="230"/>
      <c r="IB70" s="230"/>
      <c r="IC70" s="230"/>
      <c r="ID70" s="230"/>
      <c r="IE70" s="230"/>
      <c r="IF70" s="230"/>
      <c r="IG70" s="230"/>
      <c r="IH70" s="230"/>
      <c r="II70" s="230"/>
      <c r="IJ70" s="230"/>
      <c r="IK70" s="230"/>
      <c r="IL70" s="230"/>
      <c r="IM70" s="230"/>
      <c r="IN70" s="230"/>
      <c r="IO70" s="230"/>
      <c r="IP70" s="230"/>
    </row>
    <row r="71" spans="1:250" s="73" customFormat="1">
      <c r="A71" s="193" t="s">
        <v>520</v>
      </c>
      <c r="B71" s="194">
        <f>0.89*12*B56*1.25</f>
        <v>9633.6270000000004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30"/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0"/>
      <c r="DJ71" s="230"/>
      <c r="DK71" s="230"/>
      <c r="DL71" s="230"/>
      <c r="DM71" s="230"/>
      <c r="DN71" s="230"/>
      <c r="DO71" s="230"/>
      <c r="DP71" s="230"/>
      <c r="DQ71" s="230"/>
      <c r="DR71" s="230"/>
      <c r="DS71" s="230"/>
      <c r="DT71" s="230"/>
      <c r="DU71" s="230"/>
      <c r="DV71" s="230"/>
      <c r="DW71" s="230"/>
      <c r="DX71" s="230"/>
      <c r="DY71" s="230"/>
      <c r="DZ71" s="230"/>
      <c r="EA71" s="230"/>
      <c r="EB71" s="230"/>
      <c r="EC71" s="230"/>
      <c r="ED71" s="230"/>
      <c r="EE71" s="230"/>
      <c r="EF71" s="230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0"/>
      <c r="ES71" s="230"/>
      <c r="ET71" s="230"/>
      <c r="EU71" s="230"/>
      <c r="EV71" s="230"/>
      <c r="EW71" s="230"/>
      <c r="EX71" s="230"/>
      <c r="EY71" s="230"/>
      <c r="EZ71" s="230"/>
      <c r="FA71" s="230"/>
      <c r="FB71" s="230"/>
      <c r="FC71" s="230"/>
      <c r="FD71" s="230"/>
      <c r="FE71" s="230"/>
      <c r="FF71" s="230"/>
      <c r="FG71" s="230"/>
      <c r="FH71" s="230"/>
      <c r="FI71" s="230"/>
      <c r="FJ71" s="230"/>
      <c r="FK71" s="230"/>
      <c r="FL71" s="230"/>
      <c r="FM71" s="230"/>
      <c r="FN71" s="230"/>
      <c r="FO71" s="230"/>
      <c r="FP71" s="230"/>
      <c r="FQ71" s="230"/>
      <c r="FR71" s="230"/>
      <c r="FS71" s="230"/>
      <c r="FT71" s="230"/>
      <c r="FU71" s="230"/>
      <c r="FV71" s="230"/>
      <c r="FW71" s="230"/>
      <c r="FX71" s="230"/>
      <c r="FY71" s="230"/>
      <c r="FZ71" s="230"/>
      <c r="GA71" s="230"/>
      <c r="GB71" s="230"/>
      <c r="GC71" s="230"/>
      <c r="GD71" s="230"/>
      <c r="GE71" s="230"/>
      <c r="GF71" s="230"/>
      <c r="GG71" s="230"/>
      <c r="GH71" s="230"/>
      <c r="GI71" s="230"/>
      <c r="GJ71" s="230"/>
      <c r="GK71" s="230"/>
      <c r="GL71" s="230"/>
      <c r="GM71" s="230"/>
      <c r="GN71" s="230"/>
      <c r="GO71" s="230"/>
      <c r="GP71" s="230"/>
      <c r="GQ71" s="230"/>
      <c r="GR71" s="230"/>
      <c r="GS71" s="230"/>
      <c r="GT71" s="230"/>
      <c r="GU71" s="230"/>
      <c r="GV71" s="230"/>
      <c r="GW71" s="230"/>
      <c r="GX71" s="230"/>
      <c r="GY71" s="230"/>
      <c r="GZ71" s="230"/>
      <c r="HA71" s="230"/>
      <c r="HB71" s="230"/>
      <c r="HC71" s="230"/>
      <c r="HD71" s="230"/>
      <c r="HE71" s="230"/>
      <c r="HF71" s="230"/>
      <c r="HG71" s="230"/>
      <c r="HH71" s="230"/>
      <c r="HI71" s="230"/>
      <c r="HJ71" s="230"/>
      <c r="HK71" s="230"/>
      <c r="HL71" s="230"/>
      <c r="HM71" s="230"/>
      <c r="HN71" s="230"/>
      <c r="HO71" s="230"/>
      <c r="HP71" s="230"/>
      <c r="HQ71" s="230"/>
      <c r="HR71" s="230"/>
      <c r="HS71" s="230"/>
      <c r="HT71" s="230"/>
      <c r="HU71" s="230"/>
      <c r="HV71" s="230"/>
      <c r="HW71" s="230"/>
      <c r="HX71" s="230"/>
      <c r="HY71" s="230"/>
      <c r="HZ71" s="230"/>
      <c r="IA71" s="230"/>
      <c r="IB71" s="230"/>
      <c r="IC71" s="230"/>
      <c r="ID71" s="230"/>
      <c r="IE71" s="230"/>
      <c r="IF71" s="230"/>
      <c r="IG71" s="230"/>
      <c r="IH71" s="230"/>
      <c r="II71" s="230"/>
      <c r="IJ71" s="230"/>
      <c r="IK71" s="230"/>
      <c r="IL71" s="230"/>
      <c r="IM71" s="230"/>
      <c r="IN71" s="230"/>
      <c r="IO71" s="230"/>
      <c r="IP71" s="230"/>
    </row>
    <row r="72" spans="1:250" s="73" customFormat="1">
      <c r="A72" s="193" t="s">
        <v>1618</v>
      </c>
      <c r="B72" s="194">
        <f>9915.45*1.25</f>
        <v>12394.3125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0"/>
      <c r="CM72" s="230"/>
      <c r="CN72" s="230"/>
      <c r="CO72" s="230"/>
      <c r="CP72" s="230"/>
      <c r="CQ72" s="230"/>
      <c r="CR72" s="230"/>
      <c r="CS72" s="230"/>
      <c r="CT72" s="230"/>
      <c r="CU72" s="230"/>
      <c r="CV72" s="230"/>
      <c r="CW72" s="230"/>
      <c r="CX72" s="230"/>
      <c r="CY72" s="230"/>
      <c r="CZ72" s="230"/>
      <c r="DA72" s="230"/>
      <c r="DB72" s="230"/>
      <c r="DC72" s="230"/>
      <c r="DD72" s="230"/>
      <c r="DE72" s="230"/>
      <c r="DF72" s="230"/>
      <c r="DG72" s="230"/>
      <c r="DH72" s="230"/>
      <c r="DI72" s="230"/>
      <c r="DJ72" s="230"/>
      <c r="DK72" s="230"/>
      <c r="DL72" s="230"/>
      <c r="DM72" s="230"/>
      <c r="DN72" s="230"/>
      <c r="DO72" s="230"/>
      <c r="DP72" s="230"/>
      <c r="DQ72" s="230"/>
      <c r="DR72" s="230"/>
      <c r="DS72" s="230"/>
      <c r="DT72" s="230"/>
      <c r="DU72" s="230"/>
      <c r="DV72" s="230"/>
      <c r="DW72" s="230"/>
      <c r="DX72" s="230"/>
      <c r="DY72" s="230"/>
      <c r="DZ72" s="230"/>
      <c r="EA72" s="230"/>
      <c r="EB72" s="230"/>
      <c r="EC72" s="230"/>
      <c r="ED72" s="230"/>
      <c r="EE72" s="230"/>
      <c r="EF72" s="230"/>
      <c r="EG72" s="230"/>
      <c r="EH72" s="230"/>
      <c r="EI72" s="230"/>
      <c r="EJ72" s="230"/>
      <c r="EK72" s="230"/>
      <c r="EL72" s="230"/>
      <c r="EM72" s="230"/>
      <c r="EN72" s="230"/>
      <c r="EO72" s="230"/>
      <c r="EP72" s="230"/>
      <c r="EQ72" s="230"/>
      <c r="ER72" s="230"/>
      <c r="ES72" s="230"/>
      <c r="ET72" s="230"/>
      <c r="EU72" s="230"/>
      <c r="EV72" s="230"/>
      <c r="EW72" s="230"/>
      <c r="EX72" s="230"/>
      <c r="EY72" s="230"/>
      <c r="EZ72" s="230"/>
      <c r="FA72" s="230"/>
      <c r="FB72" s="230"/>
      <c r="FC72" s="230"/>
      <c r="FD72" s="230"/>
      <c r="FE72" s="230"/>
      <c r="FF72" s="230"/>
      <c r="FG72" s="230"/>
      <c r="FH72" s="230"/>
      <c r="FI72" s="230"/>
      <c r="FJ72" s="230"/>
      <c r="FK72" s="230"/>
      <c r="FL72" s="230"/>
      <c r="FM72" s="230"/>
      <c r="FN72" s="230"/>
      <c r="FO72" s="230"/>
      <c r="FP72" s="230"/>
      <c r="FQ72" s="230"/>
      <c r="FR72" s="230"/>
      <c r="FS72" s="230"/>
      <c r="FT72" s="230"/>
      <c r="FU72" s="230"/>
      <c r="FV72" s="230"/>
      <c r="FW72" s="230"/>
      <c r="FX72" s="230"/>
      <c r="FY72" s="230"/>
      <c r="FZ72" s="230"/>
      <c r="GA72" s="230"/>
      <c r="GB72" s="230"/>
      <c r="GC72" s="230"/>
      <c r="GD72" s="230"/>
      <c r="GE72" s="230"/>
      <c r="GF72" s="230"/>
      <c r="GG72" s="230"/>
      <c r="GH72" s="230"/>
      <c r="GI72" s="230"/>
      <c r="GJ72" s="230"/>
      <c r="GK72" s="230"/>
      <c r="GL72" s="230"/>
      <c r="GM72" s="230"/>
      <c r="GN72" s="230"/>
      <c r="GO72" s="230"/>
      <c r="GP72" s="230"/>
      <c r="GQ72" s="230"/>
      <c r="GR72" s="230"/>
      <c r="GS72" s="230"/>
      <c r="GT72" s="230"/>
      <c r="GU72" s="230"/>
      <c r="GV72" s="230"/>
      <c r="GW72" s="230"/>
      <c r="GX72" s="230"/>
      <c r="GY72" s="230"/>
      <c r="GZ72" s="230"/>
      <c r="HA72" s="230"/>
      <c r="HB72" s="230"/>
      <c r="HC72" s="230"/>
      <c r="HD72" s="230"/>
      <c r="HE72" s="230"/>
      <c r="HF72" s="230"/>
      <c r="HG72" s="230"/>
      <c r="HH72" s="230"/>
      <c r="HI72" s="230"/>
      <c r="HJ72" s="230"/>
      <c r="HK72" s="230"/>
      <c r="HL72" s="230"/>
      <c r="HM72" s="230"/>
      <c r="HN72" s="230"/>
      <c r="HO72" s="230"/>
      <c r="HP72" s="230"/>
      <c r="HQ72" s="230"/>
      <c r="HR72" s="230"/>
      <c r="HS72" s="230"/>
      <c r="HT72" s="230"/>
      <c r="HU72" s="230"/>
      <c r="HV72" s="230"/>
      <c r="HW72" s="230"/>
      <c r="HX72" s="230"/>
      <c r="HY72" s="230"/>
      <c r="HZ72" s="230"/>
      <c r="IA72" s="230"/>
      <c r="IB72" s="230"/>
      <c r="IC72" s="230"/>
      <c r="ID72" s="230"/>
      <c r="IE72" s="230"/>
      <c r="IF72" s="230"/>
      <c r="IG72" s="230"/>
      <c r="IH72" s="230"/>
      <c r="II72" s="230"/>
      <c r="IJ72" s="230"/>
      <c r="IK72" s="230"/>
      <c r="IL72" s="230"/>
      <c r="IM72" s="230"/>
      <c r="IN72" s="230"/>
      <c r="IO72" s="230"/>
      <c r="IP72" s="230"/>
    </row>
    <row r="73" spans="1:250" s="73" customFormat="1">
      <c r="A73" s="193" t="s">
        <v>1653</v>
      </c>
      <c r="B73" s="194">
        <f>1800*2*1.302*1.25</f>
        <v>5859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230"/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0"/>
      <c r="DZ73" s="230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0"/>
      <c r="EM73" s="230"/>
      <c r="EN73" s="230"/>
      <c r="EO73" s="230"/>
      <c r="EP73" s="230"/>
      <c r="EQ73" s="230"/>
      <c r="ER73" s="230"/>
      <c r="ES73" s="230"/>
      <c r="ET73" s="230"/>
      <c r="EU73" s="230"/>
      <c r="EV73" s="230"/>
      <c r="EW73" s="230"/>
      <c r="EX73" s="230"/>
      <c r="EY73" s="230"/>
      <c r="EZ73" s="230"/>
      <c r="FA73" s="230"/>
      <c r="FB73" s="230"/>
      <c r="FC73" s="230"/>
      <c r="FD73" s="230"/>
      <c r="FE73" s="230"/>
      <c r="FF73" s="230"/>
      <c r="FG73" s="230"/>
      <c r="FH73" s="230"/>
      <c r="FI73" s="230"/>
      <c r="FJ73" s="230"/>
      <c r="FK73" s="230"/>
      <c r="FL73" s="230"/>
      <c r="FM73" s="230"/>
      <c r="FN73" s="230"/>
      <c r="FO73" s="230"/>
      <c r="FP73" s="230"/>
      <c r="FQ73" s="230"/>
      <c r="FR73" s="230"/>
      <c r="FS73" s="230"/>
      <c r="FT73" s="230"/>
      <c r="FU73" s="230"/>
      <c r="FV73" s="230"/>
      <c r="FW73" s="230"/>
      <c r="FX73" s="230"/>
      <c r="FY73" s="230"/>
      <c r="FZ73" s="230"/>
      <c r="GA73" s="230"/>
      <c r="GB73" s="230"/>
      <c r="GC73" s="230"/>
      <c r="GD73" s="230"/>
      <c r="GE73" s="230"/>
      <c r="GF73" s="230"/>
      <c r="GG73" s="230"/>
      <c r="GH73" s="230"/>
      <c r="GI73" s="230"/>
      <c r="GJ73" s="230"/>
      <c r="GK73" s="230"/>
      <c r="GL73" s="230"/>
      <c r="GM73" s="230"/>
      <c r="GN73" s="230"/>
      <c r="GO73" s="230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/>
      <c r="HC73" s="230"/>
      <c r="HD73" s="230"/>
      <c r="HE73" s="230"/>
      <c r="HF73" s="230"/>
      <c r="HG73" s="230"/>
      <c r="HH73" s="230"/>
      <c r="HI73" s="230"/>
      <c r="HJ73" s="230"/>
      <c r="HK73" s="230"/>
      <c r="HL73" s="230"/>
      <c r="HM73" s="230"/>
      <c r="HN73" s="230"/>
      <c r="HO73" s="230"/>
      <c r="HP73" s="230"/>
      <c r="HQ73" s="230"/>
      <c r="HR73" s="230"/>
      <c r="HS73" s="230"/>
      <c r="HT73" s="230"/>
      <c r="HU73" s="230"/>
      <c r="HV73" s="230"/>
      <c r="HW73" s="230"/>
      <c r="HX73" s="230"/>
      <c r="HY73" s="230"/>
      <c r="HZ73" s="230"/>
      <c r="IA73" s="230"/>
      <c r="IB73" s="230"/>
      <c r="IC73" s="230"/>
      <c r="ID73" s="230"/>
      <c r="IE73" s="230"/>
      <c r="IF73" s="230"/>
      <c r="IG73" s="230"/>
      <c r="IH73" s="230"/>
      <c r="II73" s="230"/>
      <c r="IJ73" s="230"/>
      <c r="IK73" s="230"/>
      <c r="IL73" s="230"/>
      <c r="IM73" s="230"/>
      <c r="IN73" s="230"/>
      <c r="IO73" s="230"/>
      <c r="IP73" s="230"/>
    </row>
    <row r="74" spans="1:250">
      <c r="A74" s="193" t="s">
        <v>600</v>
      </c>
      <c r="B74" s="194">
        <f>70*42*1.25</f>
        <v>3675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9"/>
      <c r="GL74" s="179"/>
      <c r="GM74" s="179"/>
      <c r="GN74" s="179"/>
      <c r="GO74" s="179"/>
      <c r="GP74" s="179"/>
      <c r="GQ74" s="179"/>
      <c r="GR74" s="179"/>
      <c r="GS74" s="179"/>
      <c r="GT74" s="179"/>
      <c r="GU74" s="179"/>
      <c r="GV74" s="179"/>
      <c r="GW74" s="179"/>
      <c r="GX74" s="179"/>
      <c r="GY74" s="179"/>
      <c r="GZ74" s="179"/>
      <c r="HA74" s="179"/>
      <c r="HB74" s="179"/>
      <c r="HC74" s="179"/>
      <c r="HD74" s="179"/>
      <c r="HE74" s="179"/>
      <c r="HF74" s="179"/>
      <c r="HG74" s="179"/>
      <c r="HH74" s="179"/>
      <c r="HI74" s="179"/>
      <c r="HJ74" s="179"/>
      <c r="HK74" s="179"/>
      <c r="HL74" s="179"/>
      <c r="HM74" s="179"/>
      <c r="HN74" s="179"/>
      <c r="HO74" s="179"/>
      <c r="HP74" s="179"/>
      <c r="HQ74" s="179"/>
      <c r="HR74" s="179"/>
      <c r="HS74" s="179"/>
      <c r="HT74" s="179"/>
      <c r="HU74" s="179"/>
      <c r="HV74" s="179"/>
      <c r="HW74" s="179"/>
      <c r="HX74" s="179"/>
      <c r="HY74" s="179"/>
      <c r="HZ74" s="179"/>
      <c r="IA74" s="179"/>
      <c r="IB74" s="179"/>
      <c r="IC74" s="179"/>
      <c r="ID74" s="179"/>
      <c r="IE74" s="179"/>
      <c r="IF74" s="179"/>
      <c r="IG74" s="179"/>
      <c r="IH74" s="179"/>
      <c r="II74" s="179"/>
      <c r="IJ74" s="179"/>
      <c r="IK74" s="179"/>
      <c r="IL74" s="179"/>
      <c r="IM74" s="179"/>
      <c r="IN74" s="179"/>
      <c r="IO74" s="179"/>
      <c r="IP74" s="179"/>
    </row>
    <row r="75" spans="1:250" s="73" customFormat="1">
      <c r="A75" s="193" t="s">
        <v>601</v>
      </c>
      <c r="B75" s="194">
        <f>0.02*9100*13*1.302*1.25</f>
        <v>3850.665</v>
      </c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0"/>
      <c r="DZ75" s="230"/>
      <c r="EA75" s="230"/>
      <c r="EB75" s="230"/>
      <c r="EC75" s="230"/>
      <c r="ED75" s="230"/>
      <c r="EE75" s="230"/>
      <c r="EF75" s="230"/>
      <c r="EG75" s="230"/>
      <c r="EH75" s="230"/>
      <c r="EI75" s="230"/>
      <c r="EJ75" s="230"/>
      <c r="EK75" s="230"/>
      <c r="EL75" s="230"/>
      <c r="EM75" s="230"/>
      <c r="EN75" s="230"/>
      <c r="EO75" s="230"/>
      <c r="EP75" s="230"/>
      <c r="EQ75" s="230"/>
      <c r="ER75" s="230"/>
      <c r="ES75" s="230"/>
      <c r="ET75" s="230"/>
      <c r="EU75" s="230"/>
      <c r="EV75" s="230"/>
      <c r="EW75" s="230"/>
      <c r="EX75" s="230"/>
      <c r="EY75" s="230"/>
      <c r="EZ75" s="230"/>
      <c r="FA75" s="230"/>
      <c r="FB75" s="230"/>
      <c r="FC75" s="230"/>
      <c r="FD75" s="230"/>
      <c r="FE75" s="230"/>
      <c r="FF75" s="230"/>
      <c r="FG75" s="230"/>
      <c r="FH75" s="230"/>
      <c r="FI75" s="230"/>
      <c r="FJ75" s="230"/>
      <c r="FK75" s="230"/>
      <c r="FL75" s="230"/>
      <c r="FM75" s="230"/>
      <c r="FN75" s="230"/>
      <c r="FO75" s="230"/>
      <c r="FP75" s="230"/>
      <c r="FQ75" s="230"/>
      <c r="FR75" s="230"/>
      <c r="FS75" s="230"/>
      <c r="FT75" s="230"/>
      <c r="FU75" s="230"/>
      <c r="FV75" s="230"/>
      <c r="FW75" s="230"/>
      <c r="FX75" s="230"/>
      <c r="FY75" s="230"/>
      <c r="FZ75" s="230"/>
      <c r="GA75" s="230"/>
      <c r="GB75" s="230"/>
      <c r="GC75" s="230"/>
      <c r="GD75" s="230"/>
      <c r="GE75" s="230"/>
      <c r="GF75" s="230"/>
      <c r="GG75" s="230"/>
      <c r="GH75" s="230"/>
      <c r="GI75" s="230"/>
      <c r="GJ75" s="230"/>
      <c r="GK75" s="230"/>
      <c r="GL75" s="230"/>
      <c r="GM75" s="230"/>
      <c r="GN75" s="230"/>
      <c r="GO75" s="230"/>
      <c r="GP75" s="230"/>
      <c r="GQ75" s="230"/>
      <c r="GR75" s="230"/>
      <c r="GS75" s="230"/>
      <c r="GT75" s="230"/>
      <c r="GU75" s="230"/>
      <c r="GV75" s="230"/>
      <c r="GW75" s="230"/>
      <c r="GX75" s="230"/>
      <c r="GY75" s="230"/>
      <c r="GZ75" s="230"/>
      <c r="HA75" s="230"/>
      <c r="HB75" s="230"/>
      <c r="HC75" s="230"/>
      <c r="HD75" s="230"/>
      <c r="HE75" s="230"/>
      <c r="HF75" s="230"/>
      <c r="HG75" s="230"/>
      <c r="HH75" s="230"/>
      <c r="HI75" s="230"/>
      <c r="HJ75" s="230"/>
      <c r="HK75" s="230"/>
      <c r="HL75" s="230"/>
      <c r="HM75" s="230"/>
      <c r="HN75" s="230"/>
      <c r="HO75" s="230"/>
      <c r="HP75" s="230"/>
      <c r="HQ75" s="230"/>
      <c r="HR75" s="230"/>
      <c r="HS75" s="230"/>
      <c r="HT75" s="230"/>
      <c r="HU75" s="230"/>
      <c r="HV75" s="230"/>
      <c r="HW75" s="230"/>
      <c r="HX75" s="230"/>
      <c r="HY75" s="230"/>
      <c r="HZ75" s="230"/>
      <c r="IA75" s="230"/>
      <c r="IB75" s="230"/>
      <c r="IC75" s="230"/>
      <c r="ID75" s="230"/>
      <c r="IE75" s="230"/>
      <c r="IF75" s="230"/>
      <c r="IG75" s="230"/>
      <c r="IH75" s="230"/>
      <c r="II75" s="230"/>
      <c r="IJ75" s="230"/>
      <c r="IK75" s="230"/>
      <c r="IL75" s="230"/>
      <c r="IM75" s="230"/>
      <c r="IN75" s="230"/>
      <c r="IO75" s="230"/>
      <c r="IP75" s="230"/>
    </row>
    <row r="76" spans="1:250">
      <c r="A76" s="193" t="s">
        <v>602</v>
      </c>
      <c r="B76" s="194">
        <f>B53</f>
        <v>109.5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  <c r="DP76" s="179"/>
      <c r="DQ76" s="179"/>
      <c r="DR76" s="179"/>
      <c r="DS76" s="179"/>
      <c r="DT76" s="179"/>
      <c r="DU76" s="179"/>
      <c r="DV76" s="179"/>
      <c r="DW76" s="179"/>
      <c r="DX76" s="179"/>
      <c r="DY76" s="179"/>
      <c r="DZ76" s="179"/>
      <c r="EA76" s="179"/>
      <c r="EB76" s="179"/>
      <c r="EC76" s="179"/>
      <c r="ED76" s="179"/>
      <c r="EE76" s="179"/>
      <c r="EF76" s="179"/>
      <c r="EG76" s="179"/>
      <c r="EH76" s="179"/>
      <c r="EI76" s="179"/>
      <c r="EJ76" s="179"/>
      <c r="EK76" s="179"/>
      <c r="EL76" s="179"/>
      <c r="EM76" s="179"/>
      <c r="EN76" s="179"/>
      <c r="EO76" s="179"/>
      <c r="EP76" s="179"/>
      <c r="EQ76" s="179"/>
      <c r="ER76" s="179"/>
      <c r="ES76" s="179"/>
      <c r="ET76" s="179"/>
      <c r="EU76" s="179"/>
      <c r="EV76" s="179"/>
      <c r="EW76" s="179"/>
      <c r="EX76" s="179"/>
      <c r="EY76" s="179"/>
      <c r="EZ76" s="179"/>
      <c r="FA76" s="179"/>
      <c r="FB76" s="179"/>
      <c r="FC76" s="179"/>
      <c r="FD76" s="179"/>
      <c r="FE76" s="179"/>
      <c r="FF76" s="179"/>
      <c r="FG76" s="179"/>
      <c r="FH76" s="179"/>
      <c r="FI76" s="179"/>
      <c r="FJ76" s="179"/>
      <c r="FK76" s="179"/>
      <c r="FL76" s="179"/>
      <c r="FM76" s="179"/>
      <c r="FN76" s="179"/>
      <c r="FO76" s="179"/>
      <c r="FP76" s="179"/>
      <c r="FQ76" s="179"/>
      <c r="FR76" s="179"/>
      <c r="FS76" s="179"/>
      <c r="FT76" s="179"/>
      <c r="FU76" s="179"/>
      <c r="FV76" s="179"/>
      <c r="FW76" s="179"/>
      <c r="FX76" s="179"/>
      <c r="FY76" s="179"/>
      <c r="FZ76" s="179"/>
      <c r="GA76" s="179"/>
      <c r="GB76" s="179"/>
      <c r="GC76" s="179"/>
      <c r="GD76" s="179"/>
      <c r="GE76" s="179"/>
      <c r="GF76" s="179"/>
      <c r="GG76" s="179"/>
      <c r="GH76" s="179"/>
      <c r="GI76" s="179"/>
      <c r="GJ76" s="179"/>
      <c r="GK76" s="179"/>
      <c r="GL76" s="179"/>
      <c r="GM76" s="179"/>
      <c r="GN76" s="179"/>
      <c r="GO76" s="179"/>
      <c r="GP76" s="179"/>
      <c r="GQ76" s="179"/>
      <c r="GR76" s="179"/>
      <c r="GS76" s="179"/>
      <c r="GT76" s="179"/>
      <c r="GU76" s="179"/>
      <c r="GV76" s="179"/>
      <c r="GW76" s="179"/>
      <c r="GX76" s="179"/>
      <c r="GY76" s="179"/>
      <c r="GZ76" s="179"/>
      <c r="HA76" s="179"/>
      <c r="HB76" s="179"/>
      <c r="HC76" s="179"/>
      <c r="HD76" s="179"/>
      <c r="HE76" s="179"/>
      <c r="HF76" s="179"/>
      <c r="HG76" s="179"/>
      <c r="HH76" s="179"/>
      <c r="HI76" s="179"/>
      <c r="HJ76" s="179"/>
      <c r="HK76" s="179"/>
      <c r="HL76" s="179"/>
      <c r="HM76" s="179"/>
      <c r="HN76" s="179"/>
      <c r="HO76" s="179"/>
      <c r="HP76" s="179"/>
      <c r="HQ76" s="179"/>
      <c r="HR76" s="179"/>
      <c r="HS76" s="179"/>
      <c r="HT76" s="179"/>
      <c r="HU76" s="179"/>
      <c r="HV76" s="179"/>
      <c r="HW76" s="179"/>
      <c r="HX76" s="179"/>
      <c r="HY76" s="179"/>
      <c r="HZ76" s="179"/>
      <c r="IA76" s="179"/>
      <c r="IB76" s="179"/>
      <c r="IC76" s="179"/>
      <c r="ID76" s="179"/>
      <c r="IE76" s="179"/>
      <c r="IF76" s="179"/>
      <c r="IG76" s="179"/>
      <c r="IH76" s="179"/>
      <c r="II76" s="179"/>
      <c r="IJ76" s="179"/>
      <c r="IK76" s="179"/>
      <c r="IL76" s="179"/>
      <c r="IM76" s="179"/>
      <c r="IN76" s="179"/>
      <c r="IO76" s="179"/>
      <c r="IP76" s="179"/>
    </row>
    <row r="77" spans="1:250">
      <c r="A77" s="193" t="s">
        <v>603</v>
      </c>
      <c r="B77" s="194">
        <f>B76*130*1.302*1.25</f>
        <v>23167.462500000001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9"/>
      <c r="EF77" s="179"/>
      <c r="EG77" s="179"/>
      <c r="EH77" s="179"/>
      <c r="EI77" s="179"/>
      <c r="EJ77" s="179"/>
      <c r="EK77" s="179"/>
      <c r="EL77" s="179"/>
      <c r="EM77" s="179"/>
      <c r="EN77" s="179"/>
      <c r="EO77" s="179"/>
      <c r="EP77" s="179"/>
      <c r="EQ77" s="179"/>
      <c r="ER77" s="179"/>
      <c r="ES77" s="179"/>
      <c r="ET77" s="179"/>
      <c r="EU77" s="179"/>
      <c r="EV77" s="179"/>
      <c r="EW77" s="179"/>
      <c r="EX77" s="179"/>
      <c r="EY77" s="179"/>
      <c r="EZ77" s="179"/>
      <c r="FA77" s="179"/>
      <c r="FB77" s="179"/>
      <c r="FC77" s="179"/>
      <c r="FD77" s="179"/>
      <c r="FE77" s="179"/>
      <c r="FF77" s="179"/>
      <c r="FG77" s="179"/>
      <c r="FH77" s="179"/>
      <c r="FI77" s="179"/>
      <c r="FJ77" s="179"/>
      <c r="FK77" s="179"/>
      <c r="FL77" s="179"/>
      <c r="FM77" s="179"/>
      <c r="FN77" s="179"/>
      <c r="FO77" s="179"/>
      <c r="FP77" s="179"/>
      <c r="FQ77" s="179"/>
      <c r="FR77" s="179"/>
      <c r="FS77" s="179"/>
      <c r="FT77" s="179"/>
      <c r="FU77" s="179"/>
      <c r="FV77" s="179"/>
      <c r="FW77" s="179"/>
      <c r="FX77" s="179"/>
      <c r="FY77" s="179"/>
      <c r="FZ77" s="179"/>
      <c r="GA77" s="179"/>
      <c r="GB77" s="179"/>
      <c r="GC77" s="179"/>
      <c r="GD77" s="179"/>
      <c r="GE77" s="179"/>
      <c r="GF77" s="179"/>
      <c r="GG77" s="179"/>
      <c r="GH77" s="179"/>
      <c r="GI77" s="179"/>
      <c r="GJ77" s="179"/>
      <c r="GK77" s="179"/>
      <c r="GL77" s="179"/>
      <c r="GM77" s="179"/>
      <c r="GN77" s="179"/>
      <c r="GO77" s="179"/>
      <c r="GP77" s="179"/>
      <c r="GQ77" s="179"/>
      <c r="GR77" s="179"/>
      <c r="GS77" s="179"/>
      <c r="GT77" s="179"/>
      <c r="GU77" s="179"/>
      <c r="GV77" s="179"/>
      <c r="GW77" s="179"/>
      <c r="GX77" s="179"/>
      <c r="GY77" s="179"/>
      <c r="GZ77" s="179"/>
      <c r="HA77" s="179"/>
      <c r="HB77" s="179"/>
      <c r="HC77" s="179"/>
      <c r="HD77" s="179"/>
      <c r="HE77" s="179"/>
      <c r="HF77" s="179"/>
      <c r="HG77" s="179"/>
      <c r="HH77" s="179"/>
      <c r="HI77" s="179"/>
      <c r="HJ77" s="179"/>
      <c r="HK77" s="179"/>
      <c r="HL77" s="179"/>
      <c r="HM77" s="179"/>
      <c r="HN77" s="179"/>
      <c r="HO77" s="179"/>
      <c r="HP77" s="179"/>
      <c r="HQ77" s="179"/>
      <c r="HR77" s="179"/>
      <c r="HS77" s="179"/>
      <c r="HT77" s="179"/>
      <c r="HU77" s="179"/>
      <c r="HV77" s="179"/>
      <c r="HW77" s="179"/>
      <c r="HX77" s="179"/>
      <c r="HY77" s="179"/>
      <c r="HZ77" s="179"/>
      <c r="IA77" s="179"/>
      <c r="IB77" s="179"/>
      <c r="IC77" s="179"/>
      <c r="ID77" s="179"/>
      <c r="IE77" s="179"/>
      <c r="IF77" s="179"/>
      <c r="IG77" s="179"/>
      <c r="IH77" s="179"/>
      <c r="II77" s="179"/>
      <c r="IJ77" s="179"/>
      <c r="IK77" s="179"/>
      <c r="IL77" s="179"/>
      <c r="IM77" s="179"/>
      <c r="IN77" s="179"/>
      <c r="IO77" s="179"/>
      <c r="IP77" s="179"/>
    </row>
    <row r="78" spans="1:250">
      <c r="A78" s="193" t="s">
        <v>1620</v>
      </c>
      <c r="B78" s="194">
        <f>B61</f>
        <v>0</v>
      </c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79"/>
      <c r="EM78" s="179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79"/>
      <c r="FB78" s="179"/>
      <c r="FC78" s="179"/>
      <c r="FD78" s="179"/>
      <c r="FE78" s="179"/>
      <c r="FF78" s="179"/>
      <c r="FG78" s="179"/>
      <c r="FH78" s="179"/>
      <c r="FI78" s="179"/>
      <c r="FJ78" s="179"/>
      <c r="FK78" s="179"/>
      <c r="FL78" s="179"/>
      <c r="FM78" s="179"/>
      <c r="FN78" s="179"/>
      <c r="FO78" s="179"/>
      <c r="FP78" s="179"/>
      <c r="FQ78" s="179"/>
      <c r="FR78" s="179"/>
      <c r="FS78" s="179"/>
      <c r="FT78" s="179"/>
      <c r="FU78" s="179"/>
      <c r="FV78" s="179"/>
      <c r="FW78" s="179"/>
      <c r="FX78" s="179"/>
      <c r="FY78" s="179"/>
      <c r="FZ78" s="179"/>
      <c r="GA78" s="179"/>
      <c r="GB78" s="179"/>
      <c r="GC78" s="179"/>
      <c r="GD78" s="179"/>
      <c r="GE78" s="179"/>
      <c r="GF78" s="179"/>
      <c r="GG78" s="179"/>
      <c r="GH78" s="179"/>
      <c r="GI78" s="179"/>
      <c r="GJ78" s="179"/>
      <c r="GK78" s="179"/>
      <c r="GL78" s="179"/>
      <c r="GM78" s="179"/>
      <c r="GN78" s="179"/>
      <c r="GO78" s="179"/>
      <c r="GP78" s="179"/>
      <c r="GQ78" s="179"/>
      <c r="GR78" s="179"/>
      <c r="GS78" s="179"/>
      <c r="GT78" s="179"/>
      <c r="GU78" s="179"/>
      <c r="GV78" s="179"/>
      <c r="GW78" s="179"/>
      <c r="GX78" s="179"/>
      <c r="GY78" s="179"/>
      <c r="GZ78" s="179"/>
      <c r="HA78" s="179"/>
      <c r="HB78" s="179"/>
      <c r="HC78" s="179"/>
      <c r="HD78" s="179"/>
      <c r="HE78" s="179"/>
      <c r="HF78" s="179"/>
      <c r="HG78" s="179"/>
      <c r="HH78" s="179"/>
      <c r="HI78" s="179"/>
      <c r="HJ78" s="179"/>
      <c r="HK78" s="179"/>
      <c r="HL78" s="179"/>
      <c r="HM78" s="179"/>
      <c r="HN78" s="179"/>
      <c r="HO78" s="179"/>
      <c r="HP78" s="179"/>
      <c r="HQ78" s="179"/>
      <c r="HR78" s="179"/>
      <c r="HS78" s="179"/>
      <c r="HT78" s="179"/>
      <c r="HU78" s="179"/>
      <c r="HV78" s="179"/>
      <c r="HW78" s="179"/>
      <c r="HX78" s="179"/>
      <c r="HY78" s="179"/>
      <c r="HZ78" s="179"/>
      <c r="IA78" s="179"/>
      <c r="IB78" s="179"/>
      <c r="IC78" s="179"/>
      <c r="ID78" s="179"/>
      <c r="IE78" s="179"/>
      <c r="IF78" s="179"/>
      <c r="IG78" s="179"/>
      <c r="IH78" s="179"/>
      <c r="II78" s="179"/>
      <c r="IJ78" s="179"/>
      <c r="IK78" s="179"/>
      <c r="IL78" s="179"/>
      <c r="IM78" s="179"/>
      <c r="IN78" s="179"/>
      <c r="IO78" s="179"/>
      <c r="IP78" s="179"/>
    </row>
    <row r="79" spans="1:250" s="73" customFormat="1">
      <c r="A79" s="193" t="s">
        <v>1611</v>
      </c>
      <c r="B79" s="194">
        <f>1664.7*1.25</f>
        <v>2080.875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0"/>
      <c r="CH79" s="230"/>
      <c r="CI79" s="230"/>
      <c r="CJ79" s="230"/>
      <c r="CK79" s="230"/>
      <c r="CL79" s="230"/>
      <c r="CM79" s="230"/>
      <c r="CN79" s="230"/>
      <c r="CO79" s="230"/>
      <c r="CP79" s="230"/>
      <c r="CQ79" s="230"/>
      <c r="CR79" s="230"/>
      <c r="CS79" s="230"/>
      <c r="CT79" s="230"/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0"/>
      <c r="DI79" s="230"/>
      <c r="DJ79" s="230"/>
      <c r="DK79" s="230"/>
      <c r="DL79" s="230"/>
      <c r="DM79" s="230"/>
      <c r="DN79" s="230"/>
      <c r="DO79" s="230"/>
      <c r="DP79" s="230"/>
      <c r="DQ79" s="230"/>
      <c r="DR79" s="230"/>
      <c r="DS79" s="230"/>
      <c r="DT79" s="230"/>
      <c r="DU79" s="230"/>
      <c r="DV79" s="230"/>
      <c r="DW79" s="230"/>
      <c r="DX79" s="230"/>
      <c r="DY79" s="230"/>
      <c r="DZ79" s="230"/>
      <c r="EA79" s="230"/>
      <c r="EB79" s="230"/>
      <c r="EC79" s="230"/>
      <c r="ED79" s="230"/>
      <c r="EE79" s="230"/>
      <c r="EF79" s="230"/>
      <c r="EG79" s="230"/>
      <c r="EH79" s="230"/>
      <c r="EI79" s="230"/>
      <c r="EJ79" s="230"/>
      <c r="EK79" s="230"/>
      <c r="EL79" s="230"/>
      <c r="EM79" s="230"/>
      <c r="EN79" s="230"/>
      <c r="EO79" s="230"/>
      <c r="EP79" s="230"/>
      <c r="EQ79" s="230"/>
      <c r="ER79" s="230"/>
      <c r="ES79" s="230"/>
      <c r="ET79" s="230"/>
      <c r="EU79" s="230"/>
      <c r="EV79" s="230"/>
      <c r="EW79" s="230"/>
      <c r="EX79" s="230"/>
      <c r="EY79" s="230"/>
      <c r="EZ79" s="230"/>
      <c r="FA79" s="230"/>
      <c r="FB79" s="230"/>
      <c r="FC79" s="230"/>
      <c r="FD79" s="230"/>
      <c r="FE79" s="230"/>
      <c r="FF79" s="230"/>
      <c r="FG79" s="230"/>
      <c r="FH79" s="230"/>
      <c r="FI79" s="230"/>
      <c r="FJ79" s="230"/>
      <c r="FK79" s="230"/>
      <c r="FL79" s="230"/>
      <c r="FM79" s="230"/>
      <c r="FN79" s="230"/>
      <c r="FO79" s="230"/>
      <c r="FP79" s="230"/>
      <c r="FQ79" s="230"/>
      <c r="FR79" s="230"/>
      <c r="FS79" s="230"/>
      <c r="FT79" s="230"/>
      <c r="FU79" s="230"/>
      <c r="FV79" s="230"/>
      <c r="FW79" s="230"/>
      <c r="FX79" s="230"/>
      <c r="FY79" s="230"/>
      <c r="FZ79" s="230"/>
      <c r="GA79" s="230"/>
      <c r="GB79" s="230"/>
      <c r="GC79" s="230"/>
      <c r="GD79" s="230"/>
      <c r="GE79" s="230"/>
      <c r="GF79" s="230"/>
      <c r="GG79" s="230"/>
      <c r="GH79" s="230"/>
      <c r="GI79" s="230"/>
      <c r="GJ79" s="230"/>
      <c r="GK79" s="230"/>
      <c r="GL79" s="230"/>
      <c r="GM79" s="230"/>
      <c r="GN79" s="230"/>
      <c r="GO79" s="230"/>
      <c r="GP79" s="230"/>
      <c r="GQ79" s="230"/>
      <c r="GR79" s="230"/>
      <c r="GS79" s="230"/>
      <c r="GT79" s="230"/>
      <c r="GU79" s="230"/>
      <c r="GV79" s="230"/>
      <c r="GW79" s="230"/>
      <c r="GX79" s="230"/>
      <c r="GY79" s="230"/>
      <c r="GZ79" s="230"/>
      <c r="HA79" s="230"/>
      <c r="HB79" s="230"/>
      <c r="HC79" s="230"/>
      <c r="HD79" s="230"/>
      <c r="HE79" s="230"/>
      <c r="HF79" s="230"/>
      <c r="HG79" s="230"/>
      <c r="HH79" s="230"/>
      <c r="HI79" s="230"/>
      <c r="HJ79" s="230"/>
      <c r="HK79" s="230"/>
      <c r="HL79" s="230"/>
      <c r="HM79" s="230"/>
      <c r="HN79" s="230"/>
      <c r="HO79" s="230"/>
      <c r="HP79" s="230"/>
      <c r="HQ79" s="230"/>
      <c r="HR79" s="230"/>
      <c r="HS79" s="230"/>
      <c r="HT79" s="230"/>
      <c r="HU79" s="230"/>
      <c r="HV79" s="230"/>
      <c r="HW79" s="230"/>
      <c r="HX79" s="230"/>
      <c r="HY79" s="230"/>
      <c r="HZ79" s="230"/>
      <c r="IA79" s="230"/>
      <c r="IB79" s="230"/>
      <c r="IC79" s="230"/>
      <c r="ID79" s="230"/>
      <c r="IE79" s="230"/>
      <c r="IF79" s="230"/>
      <c r="IG79" s="230"/>
      <c r="IH79" s="230"/>
      <c r="II79" s="230"/>
      <c r="IJ79" s="230"/>
      <c r="IK79" s="230"/>
      <c r="IL79" s="230"/>
      <c r="IM79" s="230"/>
      <c r="IN79" s="230"/>
      <c r="IO79" s="230"/>
      <c r="IP79" s="230"/>
    </row>
    <row r="80" spans="1:250">
      <c r="A80" s="193" t="s">
        <v>724</v>
      </c>
      <c r="B80" s="194">
        <f>1715.92*1.25</f>
        <v>2144.9</v>
      </c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9"/>
      <c r="EF80" s="179"/>
      <c r="EG80" s="179"/>
      <c r="EH80" s="179"/>
      <c r="EI80" s="179"/>
      <c r="EJ80" s="179"/>
      <c r="EK80" s="179"/>
      <c r="EL80" s="179"/>
      <c r="EM80" s="179"/>
      <c r="EN80" s="179"/>
      <c r="EO80" s="179"/>
      <c r="EP80" s="179"/>
      <c r="EQ80" s="179"/>
      <c r="ER80" s="179"/>
      <c r="ES80" s="179"/>
      <c r="ET80" s="179"/>
      <c r="EU80" s="179"/>
      <c r="EV80" s="179"/>
      <c r="EW80" s="179"/>
      <c r="EX80" s="179"/>
      <c r="EY80" s="179"/>
      <c r="EZ80" s="179"/>
      <c r="FA80" s="179"/>
      <c r="FB80" s="179"/>
      <c r="FC80" s="179"/>
      <c r="FD80" s="179"/>
      <c r="FE80" s="179"/>
      <c r="FF80" s="179"/>
      <c r="FG80" s="179"/>
      <c r="FH80" s="179"/>
      <c r="FI80" s="179"/>
      <c r="FJ80" s="179"/>
      <c r="FK80" s="179"/>
      <c r="FL80" s="179"/>
      <c r="FM80" s="179"/>
      <c r="FN80" s="179"/>
      <c r="FO80" s="179"/>
      <c r="FP80" s="179"/>
      <c r="FQ80" s="179"/>
      <c r="FR80" s="179"/>
      <c r="FS80" s="179"/>
      <c r="FT80" s="179"/>
      <c r="FU80" s="179"/>
      <c r="FV80" s="179"/>
      <c r="FW80" s="179"/>
      <c r="FX80" s="179"/>
      <c r="FY80" s="179"/>
      <c r="FZ80" s="179"/>
      <c r="GA80" s="179"/>
      <c r="GB80" s="179"/>
      <c r="GC80" s="179"/>
      <c r="GD80" s="179"/>
      <c r="GE80" s="179"/>
      <c r="GF80" s="179"/>
      <c r="GG80" s="179"/>
      <c r="GH80" s="179"/>
      <c r="GI80" s="179"/>
      <c r="GJ80" s="179"/>
      <c r="GK80" s="179"/>
      <c r="GL80" s="179"/>
      <c r="GM80" s="179"/>
      <c r="GN80" s="179"/>
      <c r="GO80" s="179"/>
      <c r="GP80" s="179"/>
      <c r="GQ80" s="179"/>
      <c r="GR80" s="179"/>
      <c r="GS80" s="179"/>
      <c r="GT80" s="179"/>
      <c r="GU80" s="179"/>
      <c r="GV80" s="179"/>
      <c r="GW80" s="179"/>
      <c r="GX80" s="179"/>
      <c r="GY80" s="179"/>
      <c r="GZ80" s="179"/>
      <c r="HA80" s="179"/>
      <c r="HB80" s="179"/>
      <c r="HC80" s="179"/>
      <c r="HD80" s="179"/>
      <c r="HE80" s="179"/>
      <c r="HF80" s="179"/>
      <c r="HG80" s="179"/>
      <c r="HH80" s="179"/>
      <c r="HI80" s="179"/>
      <c r="HJ80" s="179"/>
      <c r="HK80" s="179"/>
      <c r="HL80" s="179"/>
      <c r="HM80" s="179"/>
      <c r="HN80" s="179"/>
      <c r="HO80" s="179"/>
      <c r="HP80" s="179"/>
      <c r="HQ80" s="179"/>
      <c r="HR80" s="179"/>
      <c r="HS80" s="179"/>
      <c r="HT80" s="179"/>
      <c r="HU80" s="179"/>
      <c r="HV80" s="179"/>
      <c r="HW80" s="179"/>
      <c r="HX80" s="179"/>
      <c r="HY80" s="179"/>
      <c r="HZ80" s="179"/>
      <c r="IA80" s="179"/>
      <c r="IB80" s="179"/>
      <c r="IC80" s="179"/>
      <c r="ID80" s="179"/>
      <c r="IE80" s="179"/>
      <c r="IF80" s="179"/>
      <c r="IG80" s="179"/>
      <c r="IH80" s="179"/>
      <c r="II80" s="179"/>
      <c r="IJ80" s="179"/>
      <c r="IK80" s="179"/>
      <c r="IL80" s="179"/>
      <c r="IM80" s="179"/>
      <c r="IN80" s="179"/>
      <c r="IO80" s="179"/>
      <c r="IP80" s="179"/>
    </row>
    <row r="81" spans="1:250">
      <c r="A81" s="193" t="s">
        <v>1617</v>
      </c>
      <c r="B81" s="194">
        <v>225604.14</v>
      </c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  <c r="FF81" s="179"/>
      <c r="FG81" s="179"/>
      <c r="FH81" s="179"/>
      <c r="FI81" s="179"/>
      <c r="FJ81" s="179"/>
      <c r="FK81" s="179"/>
      <c r="FL81" s="179"/>
      <c r="FM81" s="179"/>
      <c r="FN81" s="179"/>
      <c r="FO81" s="179"/>
      <c r="FP81" s="179"/>
      <c r="FQ81" s="179"/>
      <c r="FR81" s="179"/>
      <c r="FS81" s="179"/>
      <c r="FT81" s="179"/>
      <c r="FU81" s="179"/>
      <c r="FV81" s="179"/>
      <c r="FW81" s="179"/>
      <c r="FX81" s="179"/>
      <c r="FY81" s="179"/>
      <c r="FZ81" s="179"/>
      <c r="GA81" s="179"/>
      <c r="GB81" s="179"/>
      <c r="GC81" s="179"/>
      <c r="GD81" s="179"/>
      <c r="GE81" s="179"/>
      <c r="GF81" s="179"/>
      <c r="GG81" s="179"/>
      <c r="GH81" s="179"/>
      <c r="GI81" s="179"/>
      <c r="GJ81" s="179"/>
      <c r="GK81" s="179"/>
      <c r="GL81" s="179"/>
      <c r="GM81" s="179"/>
      <c r="GN81" s="179"/>
      <c r="GO81" s="179"/>
      <c r="GP81" s="179"/>
      <c r="GQ81" s="179"/>
      <c r="GR81" s="179"/>
      <c r="GS81" s="179"/>
      <c r="GT81" s="179"/>
      <c r="GU81" s="179"/>
      <c r="GV81" s="179"/>
      <c r="GW81" s="179"/>
      <c r="GX81" s="179"/>
      <c r="GY81" s="179"/>
      <c r="GZ81" s="179"/>
      <c r="HA81" s="179"/>
      <c r="HB81" s="179"/>
      <c r="HC81" s="179"/>
      <c r="HD81" s="179"/>
      <c r="HE81" s="179"/>
      <c r="HF81" s="179"/>
      <c r="HG81" s="179"/>
      <c r="HH81" s="179"/>
      <c r="HI81" s="179"/>
      <c r="HJ81" s="179"/>
      <c r="HK81" s="179"/>
      <c r="HL81" s="179"/>
      <c r="HM81" s="179"/>
      <c r="HN81" s="179"/>
      <c r="HO81" s="179"/>
      <c r="HP81" s="179"/>
      <c r="HQ81" s="179"/>
      <c r="HR81" s="179"/>
      <c r="HS81" s="179"/>
      <c r="HT81" s="179"/>
      <c r="HU81" s="179"/>
      <c r="HV81" s="179"/>
      <c r="HW81" s="179"/>
      <c r="HX81" s="179"/>
      <c r="HY81" s="179"/>
      <c r="HZ81" s="179"/>
      <c r="IA81" s="179"/>
      <c r="IB81" s="179"/>
      <c r="IC81" s="179"/>
      <c r="ID81" s="179"/>
      <c r="IE81" s="179"/>
      <c r="IF81" s="179"/>
      <c r="IG81" s="179"/>
      <c r="IH81" s="179"/>
      <c r="II81" s="179"/>
      <c r="IJ81" s="179"/>
      <c r="IK81" s="179"/>
      <c r="IL81" s="179"/>
      <c r="IM81" s="179"/>
      <c r="IN81" s="179"/>
      <c r="IO81" s="179"/>
      <c r="IP81" s="179"/>
    </row>
    <row r="82" spans="1:250">
      <c r="A82" s="193" t="s">
        <v>1613</v>
      </c>
      <c r="B82" s="194">
        <f>B64-B66-B81</f>
        <v>-238365.05417681095</v>
      </c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79"/>
      <c r="EM82" s="179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79"/>
      <c r="FB82" s="179"/>
      <c r="FC82" s="179"/>
      <c r="FD82" s="179"/>
      <c r="FE82" s="179"/>
      <c r="FF82" s="179"/>
      <c r="FG82" s="179"/>
      <c r="FH82" s="179"/>
      <c r="FI82" s="179"/>
      <c r="FJ82" s="179"/>
      <c r="FK82" s="179"/>
      <c r="FL82" s="179"/>
      <c r="FM82" s="179"/>
      <c r="FN82" s="179"/>
      <c r="FO82" s="179"/>
      <c r="FP82" s="179"/>
      <c r="FQ82" s="179"/>
      <c r="FR82" s="179"/>
      <c r="FS82" s="179"/>
      <c r="FT82" s="179"/>
      <c r="FU82" s="179"/>
      <c r="FV82" s="179"/>
      <c r="FW82" s="179"/>
      <c r="FX82" s="179"/>
      <c r="FY82" s="179"/>
      <c r="FZ82" s="179"/>
      <c r="GA82" s="179"/>
      <c r="GB82" s="179"/>
      <c r="GC82" s="179"/>
      <c r="GD82" s="179"/>
      <c r="GE82" s="179"/>
      <c r="GF82" s="179"/>
      <c r="GG82" s="179"/>
      <c r="GH82" s="179"/>
      <c r="GI82" s="179"/>
      <c r="GJ82" s="179"/>
      <c r="GK82" s="179"/>
      <c r="GL82" s="179"/>
      <c r="GM82" s="179"/>
      <c r="GN82" s="179"/>
      <c r="GO82" s="179"/>
      <c r="GP82" s="179"/>
      <c r="GQ82" s="179"/>
      <c r="GR82" s="179"/>
      <c r="GS82" s="179"/>
      <c r="GT82" s="179"/>
      <c r="GU82" s="179"/>
      <c r="GV82" s="179"/>
      <c r="GW82" s="179"/>
      <c r="GX82" s="179"/>
      <c r="GY82" s="179"/>
      <c r="GZ82" s="179"/>
      <c r="HA82" s="179"/>
      <c r="HB82" s="179"/>
      <c r="HC82" s="179"/>
      <c r="HD82" s="179"/>
      <c r="HE82" s="179"/>
      <c r="HF82" s="179"/>
      <c r="HG82" s="179"/>
      <c r="HH82" s="179"/>
      <c r="HI82" s="179"/>
      <c r="HJ82" s="179"/>
      <c r="HK82" s="179"/>
      <c r="HL82" s="179"/>
      <c r="HM82" s="179"/>
      <c r="HN82" s="179"/>
      <c r="HO82" s="179"/>
      <c r="HP82" s="179"/>
      <c r="HQ82" s="179"/>
      <c r="HR82" s="179"/>
      <c r="HS82" s="179"/>
      <c r="HT82" s="179"/>
      <c r="HU82" s="179"/>
      <c r="HV82" s="179"/>
      <c r="HW82" s="179"/>
      <c r="HX82" s="179"/>
      <c r="HY82" s="179"/>
      <c r="HZ82" s="179"/>
      <c r="IA82" s="179"/>
      <c r="IB82" s="179"/>
      <c r="IC82" s="179"/>
      <c r="ID82" s="179"/>
      <c r="IE82" s="179"/>
      <c r="IF82" s="179"/>
      <c r="IG82" s="179"/>
      <c r="IH82" s="179"/>
      <c r="II82" s="179"/>
      <c r="IJ82" s="179"/>
      <c r="IK82" s="179"/>
      <c r="IL82" s="179"/>
      <c r="IM82" s="179"/>
      <c r="IN82" s="179"/>
      <c r="IO82" s="179"/>
      <c r="IP82" s="179"/>
    </row>
    <row r="83" spans="1:250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79"/>
      <c r="DX83" s="179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79"/>
      <c r="EM83" s="179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79"/>
      <c r="FB83" s="179"/>
      <c r="FC83" s="179"/>
      <c r="FD83" s="179"/>
      <c r="FE83" s="179"/>
      <c r="FF83" s="179"/>
      <c r="FG83" s="179"/>
      <c r="FH83" s="179"/>
      <c r="FI83" s="179"/>
      <c r="FJ83" s="179"/>
      <c r="FK83" s="179"/>
      <c r="FL83" s="179"/>
      <c r="FM83" s="179"/>
      <c r="FN83" s="179"/>
      <c r="FO83" s="179"/>
      <c r="FP83" s="179"/>
      <c r="FQ83" s="179"/>
      <c r="FR83" s="179"/>
      <c r="FS83" s="179"/>
      <c r="FT83" s="179"/>
      <c r="FU83" s="179"/>
      <c r="FV83" s="179"/>
      <c r="FW83" s="179"/>
      <c r="FX83" s="179"/>
      <c r="FY83" s="179"/>
      <c r="FZ83" s="179"/>
      <c r="GA83" s="179"/>
      <c r="GB83" s="179"/>
      <c r="GC83" s="179"/>
      <c r="GD83" s="179"/>
      <c r="GE83" s="179"/>
      <c r="GF83" s="179"/>
      <c r="GG83" s="179"/>
      <c r="GH83" s="179"/>
      <c r="GI83" s="179"/>
      <c r="GJ83" s="179"/>
      <c r="GK83" s="179"/>
      <c r="GL83" s="179"/>
      <c r="GM83" s="179"/>
      <c r="GN83" s="179"/>
      <c r="GO83" s="179"/>
      <c r="GP83" s="179"/>
      <c r="GQ83" s="179"/>
      <c r="GR83" s="179"/>
      <c r="GS83" s="179"/>
      <c r="GT83" s="179"/>
      <c r="GU83" s="179"/>
      <c r="GV83" s="179"/>
      <c r="GW83" s="179"/>
      <c r="GX83" s="179"/>
      <c r="GY83" s="179"/>
      <c r="GZ83" s="179"/>
      <c r="HA83" s="179"/>
      <c r="HB83" s="179"/>
      <c r="HC83" s="179"/>
      <c r="HD83" s="179"/>
      <c r="HE83" s="179"/>
      <c r="HF83" s="179"/>
      <c r="HG83" s="179"/>
      <c r="HH83" s="179"/>
      <c r="HI83" s="179"/>
      <c r="HJ83" s="179"/>
      <c r="HK83" s="179"/>
      <c r="HL83" s="179"/>
      <c r="HM83" s="179"/>
      <c r="HN83" s="179"/>
      <c r="HO83" s="179"/>
      <c r="HP83" s="179"/>
      <c r="HQ83" s="179"/>
      <c r="HR83" s="179"/>
      <c r="HS83" s="179"/>
      <c r="HT83" s="179"/>
      <c r="HU83" s="179"/>
      <c r="HV83" s="179"/>
      <c r="HW83" s="179"/>
      <c r="HX83" s="179"/>
      <c r="HY83" s="179"/>
      <c r="HZ83" s="179"/>
      <c r="IA83" s="179"/>
      <c r="IB83" s="179"/>
      <c r="IC83" s="179"/>
      <c r="ID83" s="179"/>
      <c r="IE83" s="179"/>
      <c r="IF83" s="179"/>
      <c r="IG83" s="179"/>
      <c r="IH83" s="179"/>
      <c r="II83" s="179"/>
      <c r="IJ83" s="179"/>
      <c r="IK83" s="179"/>
      <c r="IL83" s="179"/>
      <c r="IM83" s="179"/>
      <c r="IN83" s="179"/>
      <c r="IO83" s="179"/>
      <c r="IP83" s="179"/>
    </row>
    <row r="84" spans="1:250">
      <c r="A84" s="448" t="s">
        <v>605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79"/>
      <c r="DX84" s="179"/>
      <c r="DY84" s="179"/>
      <c r="DZ84" s="179"/>
      <c r="EA84" s="179"/>
      <c r="EB84" s="179"/>
      <c r="EC84" s="179"/>
      <c r="ED84" s="179"/>
      <c r="EE84" s="179"/>
      <c r="EF84" s="179"/>
      <c r="EG84" s="179"/>
      <c r="EH84" s="179"/>
      <c r="EI84" s="179"/>
      <c r="EJ84" s="179"/>
      <c r="EK84" s="179"/>
      <c r="EL84" s="179"/>
      <c r="EM84" s="179"/>
      <c r="EN84" s="179"/>
      <c r="EO84" s="179"/>
      <c r="EP84" s="179"/>
      <c r="EQ84" s="179"/>
      <c r="ER84" s="179"/>
      <c r="ES84" s="179"/>
      <c r="ET84" s="179"/>
      <c r="EU84" s="179"/>
      <c r="EV84" s="179"/>
      <c r="EW84" s="179"/>
      <c r="EX84" s="179"/>
      <c r="EY84" s="179"/>
      <c r="EZ84" s="179"/>
      <c r="FA84" s="179"/>
      <c r="FB84" s="179"/>
      <c r="FC84" s="179"/>
      <c r="FD84" s="179"/>
      <c r="FE84" s="179"/>
      <c r="FF84" s="179"/>
      <c r="FG84" s="179"/>
      <c r="FH84" s="179"/>
      <c r="FI84" s="179"/>
      <c r="FJ84" s="179"/>
      <c r="FK84" s="179"/>
      <c r="FL84" s="179"/>
      <c r="FM84" s="179"/>
      <c r="FN84" s="179"/>
      <c r="FO84" s="179"/>
      <c r="FP84" s="179"/>
      <c r="FQ84" s="179"/>
      <c r="FR84" s="179"/>
      <c r="FS84" s="179"/>
      <c r="FT84" s="179"/>
      <c r="FU84" s="179"/>
      <c r="FV84" s="179"/>
      <c r="FW84" s="179"/>
      <c r="FX84" s="179"/>
      <c r="FY84" s="179"/>
      <c r="FZ84" s="179"/>
      <c r="GA84" s="179"/>
      <c r="GB84" s="179"/>
      <c r="GC84" s="179"/>
      <c r="GD84" s="179"/>
      <c r="GE84" s="179"/>
      <c r="GF84" s="179"/>
      <c r="GG84" s="179"/>
      <c r="GH84" s="179"/>
      <c r="GI84" s="179"/>
      <c r="GJ84" s="179"/>
      <c r="GK84" s="179"/>
      <c r="GL84" s="179"/>
      <c r="GM84" s="179"/>
      <c r="GN84" s="179"/>
      <c r="GO84" s="179"/>
      <c r="GP84" s="179"/>
      <c r="GQ84" s="179"/>
      <c r="GR84" s="179"/>
      <c r="GS84" s="179"/>
      <c r="GT84" s="179"/>
      <c r="GU84" s="179"/>
      <c r="GV84" s="179"/>
      <c r="GW84" s="179"/>
      <c r="GX84" s="179"/>
      <c r="GY84" s="179"/>
      <c r="GZ84" s="179"/>
      <c r="HA84" s="179"/>
      <c r="HB84" s="179"/>
      <c r="HC84" s="179"/>
      <c r="HD84" s="179"/>
      <c r="HE84" s="179"/>
      <c r="HF84" s="179"/>
      <c r="HG84" s="179"/>
      <c r="HH84" s="179"/>
      <c r="HI84" s="179"/>
      <c r="HJ84" s="179"/>
      <c r="HK84" s="179"/>
      <c r="HL84" s="179"/>
      <c r="HM84" s="179"/>
      <c r="HN84" s="179"/>
      <c r="HO84" s="179"/>
      <c r="HP84" s="179"/>
      <c r="HQ84" s="179"/>
      <c r="HR84" s="179"/>
      <c r="HS84" s="179"/>
      <c r="HT84" s="179"/>
      <c r="HU84" s="179"/>
      <c r="HV84" s="179"/>
      <c r="HW84" s="179"/>
      <c r="HX84" s="179"/>
      <c r="HY84" s="179"/>
      <c r="HZ84" s="179"/>
      <c r="IA84" s="179"/>
      <c r="IB84" s="179"/>
      <c r="IC84" s="179"/>
      <c r="ID84" s="179"/>
      <c r="IE84" s="179"/>
      <c r="IF84" s="179"/>
      <c r="IG84" s="179"/>
      <c r="IH84" s="179"/>
      <c r="II84" s="179"/>
      <c r="IJ84" s="179"/>
      <c r="IK84" s="179"/>
      <c r="IL84" s="179"/>
      <c r="IM84" s="179"/>
      <c r="IN84" s="179"/>
      <c r="IO84" s="179"/>
      <c r="IP84" s="179"/>
    </row>
    <row r="86" spans="1:250">
      <c r="A86" s="321" t="s">
        <v>1612</v>
      </c>
      <c r="B86">
        <f>B56*5.94*12</f>
        <v>51437.073600000003</v>
      </c>
    </row>
    <row r="87" spans="1:250">
      <c r="B87" s="276">
        <f>B86+B66</f>
        <v>310029.01777681097</v>
      </c>
    </row>
    <row r="88" spans="1:250">
      <c r="B88">
        <f>B87/B66</f>
        <v>1.1989121268403866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3"/>
  <sheetViews>
    <sheetView topLeftCell="A21" workbookViewId="0">
      <selection activeCell="A23" sqref="A23:C49"/>
    </sheetView>
  </sheetViews>
  <sheetFormatPr defaultRowHeight="15"/>
  <cols>
    <col min="1" max="1" width="80.85546875" customWidth="1"/>
    <col min="2" max="2" width="3.28515625" hidden="1" customWidth="1"/>
    <col min="3" max="3" width="12.5703125" customWidth="1"/>
  </cols>
  <sheetData>
    <row r="1" spans="1:3" ht="15.75">
      <c r="A1" s="701" t="s">
        <v>364</v>
      </c>
      <c r="B1" s="701"/>
      <c r="C1" s="701"/>
    </row>
    <row r="2" spans="1:3" ht="15.75">
      <c r="A2" s="702" t="s">
        <v>1578</v>
      </c>
      <c r="B2" s="702"/>
      <c r="C2" s="702"/>
    </row>
    <row r="3" spans="1:3" s="55" customFormat="1" ht="15.75">
      <c r="A3" s="702" t="s">
        <v>1632</v>
      </c>
      <c r="B3" s="702"/>
      <c r="C3" s="702"/>
    </row>
    <row r="4" spans="1:3" ht="30.75" thickBot="1">
      <c r="A4" s="712" t="s">
        <v>229</v>
      </c>
      <c r="B4" s="713"/>
      <c r="C4" s="82" t="s">
        <v>589</v>
      </c>
    </row>
    <row r="5" spans="1:3" ht="15.75" thickBot="1">
      <c r="A5" s="749" t="s">
        <v>56</v>
      </c>
      <c r="B5" s="750"/>
      <c r="C5" s="72"/>
    </row>
    <row r="6" spans="1:3" ht="15.75" thickBot="1">
      <c r="A6" s="745" t="s">
        <v>57</v>
      </c>
      <c r="B6" s="746"/>
      <c r="C6" s="72"/>
    </row>
    <row r="7" spans="1:3" s="73" customFormat="1">
      <c r="A7" s="747" t="s">
        <v>1660</v>
      </c>
      <c r="B7" s="748"/>
      <c r="C7" s="72">
        <v>6</v>
      </c>
    </row>
    <row r="8" spans="1:3" s="73" customFormat="1" ht="31.5" customHeight="1">
      <c r="A8" s="747" t="s">
        <v>1665</v>
      </c>
      <c r="B8" s="748"/>
      <c r="C8" s="72">
        <v>4</v>
      </c>
    </row>
    <row r="9" spans="1:3">
      <c r="A9" s="754" t="s">
        <v>66</v>
      </c>
      <c r="B9" s="755"/>
      <c r="C9" s="72"/>
    </row>
    <row r="10" spans="1:3">
      <c r="A10" s="756" t="s">
        <v>590</v>
      </c>
      <c r="B10" s="757"/>
      <c r="C10" s="72"/>
    </row>
    <row r="11" spans="1:3" s="73" customFormat="1" ht="15" customHeight="1" thickBot="1">
      <c r="A11" s="714" t="s">
        <v>1664</v>
      </c>
      <c r="B11" s="715"/>
      <c r="C11" s="72">
        <v>2</v>
      </c>
    </row>
    <row r="12" spans="1:3" ht="15.75" thickBot="1">
      <c r="A12" s="751" t="s">
        <v>102</v>
      </c>
      <c r="B12" s="745"/>
      <c r="C12" s="72"/>
    </row>
    <row r="13" spans="1:3" s="73" customFormat="1">
      <c r="A13" s="400" t="s">
        <v>1661</v>
      </c>
      <c r="B13" s="88"/>
      <c r="C13" s="72">
        <v>1</v>
      </c>
    </row>
    <row r="14" spans="1:3" s="73" customFormat="1" ht="28.5">
      <c r="A14" s="400" t="s">
        <v>1662</v>
      </c>
      <c r="B14" s="88"/>
      <c r="C14" s="72">
        <v>1</v>
      </c>
    </row>
    <row r="15" spans="1:3" s="73" customFormat="1">
      <c r="A15" s="400" t="s">
        <v>1663</v>
      </c>
      <c r="B15" s="88"/>
      <c r="C15" s="72">
        <v>1</v>
      </c>
    </row>
    <row r="16" spans="1:3" s="73" customFormat="1" ht="28.5">
      <c r="A16" s="478" t="s">
        <v>1666</v>
      </c>
      <c r="B16" s="478"/>
      <c r="C16" s="72">
        <v>1</v>
      </c>
    </row>
    <row r="17" spans="1:254" s="73" customFormat="1">
      <c r="A17" s="478" t="s">
        <v>1667</v>
      </c>
      <c r="B17" s="478"/>
      <c r="C17" s="72">
        <v>1</v>
      </c>
    </row>
    <row r="18" spans="1:254" s="73" customFormat="1" ht="15.75" customHeight="1">
      <c r="A18" s="478" t="s">
        <v>1668</v>
      </c>
      <c r="B18" s="478"/>
      <c r="C18" s="72">
        <v>1</v>
      </c>
    </row>
    <row r="19" spans="1:254" s="73" customFormat="1" ht="30.75" customHeight="1">
      <c r="A19" s="478" t="s">
        <v>1669</v>
      </c>
      <c r="B19" s="478"/>
      <c r="C19" s="72">
        <v>1</v>
      </c>
    </row>
    <row r="20" spans="1:254" s="73" customFormat="1" ht="43.5" customHeight="1" thickBot="1">
      <c r="A20" s="478" t="s">
        <v>1670</v>
      </c>
      <c r="B20" s="101"/>
      <c r="C20" s="72">
        <v>2</v>
      </c>
    </row>
    <row r="21" spans="1:254" ht="15.75" thickBot="1">
      <c r="A21" s="752" t="s">
        <v>587</v>
      </c>
      <c r="B21" s="753"/>
      <c r="C21" s="72">
        <f>SUM(C6:C20)</f>
        <v>21</v>
      </c>
      <c r="D21">
        <f>51-9</f>
        <v>42</v>
      </c>
    </row>
    <row r="22" spans="1:254">
      <c r="A22" s="78"/>
      <c r="B22" s="78"/>
      <c r="C22" s="75"/>
    </row>
    <row r="23" spans="1:254" s="179" customFormat="1" ht="43.5" customHeight="1">
      <c r="A23" s="447" t="s">
        <v>1633</v>
      </c>
      <c r="IT23"/>
    </row>
    <row r="24" spans="1:254">
      <c r="A24" s="180" t="s">
        <v>650</v>
      </c>
      <c r="B24" s="179"/>
      <c r="C24" s="196">
        <v>355.4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  <c r="HM24" s="179"/>
      <c r="HN24" s="179"/>
      <c r="HO24" s="179"/>
      <c r="HP24" s="179"/>
      <c r="HQ24" s="179"/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  <c r="II24" s="179"/>
      <c r="IJ24" s="179"/>
      <c r="IK24" s="179"/>
      <c r="IL24" s="179"/>
      <c r="IM24" s="179"/>
      <c r="IN24" s="179"/>
      <c r="IO24" s="179"/>
      <c r="IP24" s="179"/>
      <c r="IQ24" s="179"/>
      <c r="IR24" s="179"/>
      <c r="IS24" s="179"/>
    </row>
    <row r="25" spans="1:254">
      <c r="A25" s="180" t="s">
        <v>594</v>
      </c>
      <c r="B25" s="179"/>
      <c r="C25" s="196">
        <v>27.8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  <c r="HJ25" s="179"/>
      <c r="HK25" s="179"/>
      <c r="HL25" s="179"/>
      <c r="HM25" s="179"/>
      <c r="HN25" s="179"/>
      <c r="HO25" s="179"/>
      <c r="HP25" s="179"/>
      <c r="HQ25" s="179"/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  <c r="II25" s="179"/>
      <c r="IJ25" s="179"/>
      <c r="IK25" s="179"/>
      <c r="IL25" s="179"/>
      <c r="IM25" s="179"/>
      <c r="IN25" s="179"/>
      <c r="IO25" s="179"/>
      <c r="IP25" s="179"/>
      <c r="IQ25" s="179"/>
      <c r="IR25" s="179"/>
      <c r="IS25" s="179"/>
    </row>
    <row r="26" spans="1:254" s="73" customFormat="1">
      <c r="A26" s="193" t="s">
        <v>711</v>
      </c>
      <c r="B26" s="230"/>
      <c r="C26" s="193">
        <v>5293.58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0"/>
      <c r="FF26" s="230"/>
      <c r="FG26" s="230"/>
      <c r="FH26" s="230"/>
      <c r="FI26" s="230"/>
      <c r="FJ26" s="230"/>
      <c r="FK26" s="230"/>
      <c r="FL26" s="230"/>
      <c r="FM26" s="230"/>
      <c r="FN26" s="230"/>
      <c r="FO26" s="230"/>
      <c r="FP26" s="230"/>
      <c r="FQ26" s="230"/>
      <c r="FR26" s="230"/>
      <c r="FS26" s="230"/>
      <c r="FT26" s="230"/>
      <c r="FU26" s="230"/>
      <c r="FV26" s="230"/>
      <c r="FW26" s="230"/>
      <c r="FX26" s="230"/>
      <c r="FY26" s="230"/>
      <c r="FZ26" s="230"/>
      <c r="GA26" s="230"/>
      <c r="GB26" s="230"/>
      <c r="GC26" s="230"/>
      <c r="GD26" s="230"/>
      <c r="GE26" s="230"/>
      <c r="GF26" s="230"/>
      <c r="GG26" s="230"/>
      <c r="GH26" s="230"/>
      <c r="GI26" s="230"/>
      <c r="GJ26" s="230"/>
      <c r="GK26" s="230"/>
      <c r="GL26" s="230"/>
      <c r="GM26" s="230"/>
      <c r="GN26" s="230"/>
      <c r="GO26" s="230"/>
      <c r="GP26" s="230"/>
      <c r="GQ26" s="230"/>
      <c r="GR26" s="230"/>
      <c r="GS26" s="230"/>
      <c r="GT26" s="230"/>
      <c r="GU26" s="230"/>
      <c r="GV26" s="230"/>
      <c r="GW26" s="230"/>
      <c r="GX26" s="230"/>
      <c r="GY26" s="230"/>
      <c r="GZ26" s="230"/>
      <c r="HA26" s="230"/>
      <c r="HB26" s="230"/>
      <c r="HC26" s="230"/>
      <c r="HD26" s="230"/>
      <c r="HE26" s="230"/>
      <c r="HF26" s="230"/>
      <c r="HG26" s="230"/>
      <c r="HH26" s="230"/>
      <c r="HI26" s="230"/>
      <c r="HJ26" s="230"/>
      <c r="HK26" s="230"/>
      <c r="HL26" s="230"/>
      <c r="HM26" s="230"/>
      <c r="HN26" s="230"/>
      <c r="HO26" s="230"/>
      <c r="HP26" s="230"/>
      <c r="HQ26" s="230"/>
      <c r="HR26" s="230"/>
      <c r="HS26" s="230"/>
      <c r="HT26" s="230"/>
      <c r="HU26" s="230"/>
      <c r="HV26" s="230"/>
      <c r="HW26" s="230"/>
      <c r="HX26" s="230"/>
      <c r="HY26" s="230"/>
      <c r="HZ26" s="230"/>
      <c r="IA26" s="230"/>
      <c r="IB26" s="230"/>
      <c r="IC26" s="230"/>
      <c r="ID26" s="230"/>
      <c r="IE26" s="230"/>
      <c r="IF26" s="230"/>
      <c r="IG26" s="230"/>
      <c r="IH26" s="230"/>
      <c r="II26" s="230"/>
      <c r="IJ26" s="230"/>
      <c r="IK26" s="230"/>
      <c r="IL26" s="230"/>
      <c r="IM26" s="230"/>
      <c r="IN26" s="230"/>
      <c r="IO26" s="230"/>
      <c r="IP26" s="230"/>
      <c r="IQ26" s="230"/>
      <c r="IR26" s="230"/>
      <c r="IS26" s="230"/>
    </row>
    <row r="27" spans="1:254" s="73" customFormat="1">
      <c r="A27" s="193" t="s">
        <v>1607</v>
      </c>
      <c r="B27" s="230"/>
      <c r="C27" s="193">
        <v>118561.44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  <c r="IC27" s="230"/>
      <c r="ID27" s="230"/>
      <c r="IE27" s="230"/>
      <c r="IF27" s="230"/>
      <c r="IG27" s="230"/>
      <c r="IH27" s="230"/>
      <c r="II27" s="230"/>
      <c r="IJ27" s="230"/>
      <c r="IK27" s="230"/>
      <c r="IL27" s="230"/>
      <c r="IM27" s="230"/>
      <c r="IN27" s="230"/>
      <c r="IO27" s="230"/>
      <c r="IP27" s="230"/>
      <c r="IQ27" s="230"/>
      <c r="IR27" s="230"/>
      <c r="IS27" s="230"/>
    </row>
    <row r="28" spans="1:254" s="73" customFormat="1">
      <c r="A28" s="193" t="s">
        <v>1608</v>
      </c>
      <c r="B28" s="230"/>
      <c r="C28" s="193">
        <v>691.68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0"/>
      <c r="EM28" s="230"/>
      <c r="EN28" s="230"/>
      <c r="EO28" s="230"/>
      <c r="EP28" s="230"/>
      <c r="EQ28" s="230"/>
      <c r="ER28" s="230"/>
      <c r="ES28" s="230"/>
      <c r="ET28" s="230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0"/>
      <c r="FF28" s="230"/>
      <c r="FG28" s="230"/>
      <c r="FH28" s="230"/>
      <c r="FI28" s="230"/>
      <c r="FJ28" s="230"/>
      <c r="FK28" s="230"/>
      <c r="FL28" s="230"/>
      <c r="FM28" s="230"/>
      <c r="FN28" s="230"/>
      <c r="FO28" s="230"/>
      <c r="FP28" s="230"/>
      <c r="FQ28" s="230"/>
      <c r="FR28" s="230"/>
      <c r="FS28" s="230"/>
      <c r="FT28" s="230"/>
      <c r="FU28" s="230"/>
      <c r="FV28" s="230"/>
      <c r="FW28" s="230"/>
      <c r="FX28" s="230"/>
      <c r="FY28" s="230"/>
      <c r="FZ28" s="230"/>
      <c r="GA28" s="230"/>
      <c r="GB28" s="230"/>
      <c r="GC28" s="230"/>
      <c r="GD28" s="230"/>
      <c r="GE28" s="230"/>
      <c r="GF28" s="230"/>
      <c r="GG28" s="230"/>
      <c r="GH28" s="230"/>
      <c r="GI28" s="230"/>
      <c r="GJ28" s="230"/>
      <c r="GK28" s="230"/>
      <c r="GL28" s="230"/>
      <c r="GM28" s="230"/>
      <c r="GN28" s="230"/>
      <c r="GO28" s="230"/>
      <c r="GP28" s="230"/>
      <c r="GQ28" s="230"/>
      <c r="GR28" s="230"/>
      <c r="GS28" s="230"/>
      <c r="GT28" s="230"/>
      <c r="GU28" s="230"/>
      <c r="GV28" s="230"/>
      <c r="GW28" s="230"/>
      <c r="GX28" s="230"/>
      <c r="GY28" s="230"/>
      <c r="GZ28" s="230"/>
      <c r="HA28" s="230"/>
      <c r="HB28" s="230"/>
      <c r="HC28" s="230"/>
      <c r="HD28" s="230"/>
      <c r="HE28" s="230"/>
      <c r="HF28" s="230"/>
      <c r="HG28" s="230"/>
      <c r="HH28" s="230"/>
      <c r="HI28" s="230"/>
      <c r="HJ28" s="230"/>
      <c r="HK28" s="230"/>
      <c r="HL28" s="230"/>
      <c r="HM28" s="230"/>
      <c r="HN28" s="230"/>
      <c r="HO28" s="230"/>
      <c r="HP28" s="230"/>
      <c r="HQ28" s="230"/>
      <c r="HR28" s="230"/>
      <c r="HS28" s="230"/>
      <c r="HT28" s="230"/>
      <c r="HU28" s="230"/>
      <c r="HV28" s="230"/>
      <c r="HW28" s="230"/>
      <c r="HX28" s="230"/>
      <c r="HY28" s="230"/>
      <c r="HZ28" s="230"/>
      <c r="IA28" s="230"/>
      <c r="IB28" s="230"/>
      <c r="IC28" s="230"/>
      <c r="ID28" s="230"/>
      <c r="IE28" s="230"/>
      <c r="IF28" s="230"/>
      <c r="IG28" s="230"/>
      <c r="IH28" s="230"/>
      <c r="II28" s="230"/>
      <c r="IJ28" s="230"/>
      <c r="IK28" s="230"/>
      <c r="IL28" s="230"/>
      <c r="IM28" s="230"/>
      <c r="IN28" s="230"/>
      <c r="IO28" s="230"/>
      <c r="IP28" s="230"/>
      <c r="IQ28" s="230"/>
      <c r="IR28" s="230"/>
      <c r="IS28" s="230"/>
    </row>
    <row r="29" spans="1:254" s="73" customFormat="1">
      <c r="A29" s="193" t="s">
        <v>1619</v>
      </c>
      <c r="B29" s="230"/>
      <c r="C29" s="193">
        <v>0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30"/>
      <c r="DV29" s="230"/>
      <c r="DW29" s="230"/>
      <c r="DX29" s="230"/>
      <c r="DY29" s="230"/>
      <c r="DZ29" s="230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0"/>
      <c r="ES29" s="230"/>
      <c r="ET29" s="230"/>
      <c r="EU29" s="230"/>
      <c r="EV29" s="230"/>
      <c r="EW29" s="230"/>
      <c r="EX29" s="230"/>
      <c r="EY29" s="230"/>
      <c r="EZ29" s="230"/>
      <c r="FA29" s="230"/>
      <c r="FB29" s="230"/>
      <c r="FC29" s="230"/>
      <c r="FD29" s="230"/>
      <c r="FE29" s="230"/>
      <c r="FF29" s="230"/>
      <c r="FG29" s="230"/>
      <c r="FH29" s="230"/>
      <c r="FI29" s="230"/>
      <c r="FJ29" s="230"/>
      <c r="FK29" s="230"/>
      <c r="FL29" s="230"/>
      <c r="FM29" s="230"/>
      <c r="FN29" s="230"/>
      <c r="FO29" s="230"/>
      <c r="FP29" s="230"/>
      <c r="FQ29" s="230"/>
      <c r="FR29" s="230"/>
      <c r="FS29" s="230"/>
      <c r="FT29" s="230"/>
      <c r="FU29" s="230"/>
      <c r="FV29" s="230"/>
      <c r="FW29" s="230"/>
      <c r="FX29" s="230"/>
      <c r="FY29" s="230"/>
      <c r="FZ29" s="230"/>
      <c r="GA29" s="230"/>
      <c r="GB29" s="230"/>
      <c r="GC29" s="230"/>
      <c r="GD29" s="230"/>
      <c r="GE29" s="230"/>
      <c r="GF29" s="230"/>
      <c r="GG29" s="230"/>
      <c r="GH29" s="230"/>
      <c r="GI29" s="230"/>
      <c r="GJ29" s="230"/>
      <c r="GK29" s="230"/>
      <c r="GL29" s="230"/>
      <c r="GM29" s="230"/>
      <c r="GN29" s="230"/>
      <c r="GO29" s="230"/>
      <c r="GP29" s="230"/>
      <c r="GQ29" s="230"/>
      <c r="GR29" s="230"/>
      <c r="GS29" s="230"/>
      <c r="GT29" s="230"/>
      <c r="GU29" s="230"/>
      <c r="GV29" s="230"/>
      <c r="GW29" s="230"/>
      <c r="GX29" s="230"/>
      <c r="GY29" s="230"/>
      <c r="GZ29" s="230"/>
      <c r="HA29" s="230"/>
      <c r="HB29" s="230"/>
      <c r="HC29" s="230"/>
      <c r="HD29" s="230"/>
      <c r="HE29" s="230"/>
      <c r="HF29" s="230"/>
      <c r="HG29" s="230"/>
      <c r="HH29" s="230"/>
      <c r="HI29" s="230"/>
      <c r="HJ29" s="230"/>
      <c r="HK29" s="230"/>
      <c r="HL29" s="230"/>
      <c r="HM29" s="230"/>
      <c r="HN29" s="230"/>
      <c r="HO29" s="230"/>
      <c r="HP29" s="230"/>
      <c r="HQ29" s="230"/>
      <c r="HR29" s="230"/>
      <c r="HS29" s="230"/>
      <c r="HT29" s="230"/>
      <c r="HU29" s="230"/>
      <c r="HV29" s="230"/>
      <c r="HW29" s="230"/>
      <c r="HX29" s="230"/>
      <c r="HY29" s="230"/>
      <c r="HZ29" s="230"/>
      <c r="IA29" s="230"/>
      <c r="IB29" s="230"/>
      <c r="IC29" s="230"/>
      <c r="ID29" s="230"/>
      <c r="IE29" s="230"/>
      <c r="IF29" s="230"/>
      <c r="IG29" s="230"/>
      <c r="IH29" s="230"/>
      <c r="II29" s="230"/>
      <c r="IJ29" s="230"/>
      <c r="IK29" s="230"/>
      <c r="IL29" s="230"/>
      <c r="IM29" s="230"/>
      <c r="IN29" s="230"/>
      <c r="IO29" s="230"/>
      <c r="IP29" s="230"/>
      <c r="IQ29" s="230"/>
      <c r="IR29" s="230"/>
      <c r="IS29" s="230"/>
    </row>
    <row r="30" spans="1:254">
      <c r="A30" s="181" t="s">
        <v>1610</v>
      </c>
      <c r="B30" s="179"/>
      <c r="C30" s="193">
        <f>C26+C27+C28-C31+C29+36477</f>
        <v>149498.39000000001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 s="179"/>
      <c r="HK30" s="179"/>
      <c r="HL30" s="179"/>
      <c r="HM30" s="179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  <c r="IQ30" s="179"/>
      <c r="IR30" s="179"/>
      <c r="IS30" s="179"/>
    </row>
    <row r="31" spans="1:254" s="73" customFormat="1">
      <c r="A31" s="193" t="s">
        <v>1609</v>
      </c>
      <c r="B31" s="230"/>
      <c r="C31" s="193">
        <v>11525.31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  <c r="IB31" s="230"/>
      <c r="IC31" s="230"/>
      <c r="ID31" s="230"/>
      <c r="IE31" s="230"/>
      <c r="IF31" s="230"/>
      <c r="IG31" s="230"/>
      <c r="IH31" s="230"/>
      <c r="II31" s="230"/>
      <c r="IJ31" s="230"/>
      <c r="IK31" s="230"/>
      <c r="IL31" s="230"/>
      <c r="IM31" s="230"/>
      <c r="IN31" s="230"/>
      <c r="IO31" s="230"/>
      <c r="IP31" s="230"/>
      <c r="IQ31" s="230"/>
      <c r="IR31" s="230"/>
      <c r="IS31" s="230"/>
    </row>
    <row r="32" spans="1:254" s="73" customFormat="1" ht="22.5" customHeight="1">
      <c r="A32" s="234" t="s">
        <v>1604</v>
      </c>
      <c r="B32" s="429"/>
      <c r="C32" s="196">
        <f>C30</f>
        <v>149498.39000000001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230"/>
      <c r="FI32" s="230"/>
      <c r="FJ32" s="230"/>
      <c r="FK32" s="230"/>
      <c r="FL32" s="230"/>
      <c r="FM32" s="230"/>
      <c r="FN32" s="230"/>
      <c r="FO32" s="230"/>
      <c r="FP32" s="230"/>
      <c r="FQ32" s="230"/>
      <c r="FR32" s="230"/>
      <c r="FS32" s="230"/>
      <c r="FT32" s="230"/>
      <c r="FU32" s="230"/>
      <c r="FV32" s="230"/>
      <c r="FW32" s="230"/>
      <c r="FX32" s="230"/>
      <c r="FY32" s="230"/>
      <c r="FZ32" s="230"/>
      <c r="GA32" s="230"/>
      <c r="GB32" s="230"/>
      <c r="GC32" s="230"/>
      <c r="GD32" s="230"/>
      <c r="GE32" s="230"/>
      <c r="GF32" s="230"/>
      <c r="GG32" s="230"/>
      <c r="GH32" s="230"/>
      <c r="GI32" s="230"/>
      <c r="GJ32" s="230"/>
      <c r="GK32" s="230"/>
      <c r="GL32" s="230"/>
      <c r="GM32" s="230"/>
      <c r="GN32" s="230"/>
      <c r="GO32" s="230"/>
      <c r="GP32" s="230"/>
      <c r="GQ32" s="230"/>
      <c r="GR32" s="230"/>
      <c r="GS32" s="230"/>
      <c r="GT32" s="230"/>
      <c r="GU32" s="230"/>
      <c r="GV32" s="230"/>
      <c r="GW32" s="230"/>
      <c r="GX32" s="230"/>
      <c r="GY32" s="230"/>
      <c r="GZ32" s="230"/>
      <c r="HA32" s="230"/>
      <c r="HB32" s="230"/>
      <c r="HC32" s="230"/>
      <c r="HD32" s="230"/>
      <c r="HE32" s="230"/>
      <c r="HF32" s="230"/>
      <c r="HG32" s="230"/>
      <c r="HH32" s="230"/>
      <c r="HI32" s="230"/>
      <c r="HJ32" s="230"/>
      <c r="HK32" s="230"/>
      <c r="HL32" s="230"/>
      <c r="HM32" s="230"/>
      <c r="HN32" s="230"/>
      <c r="HO32" s="230"/>
      <c r="HP32" s="230"/>
      <c r="HQ32" s="230"/>
      <c r="HR32" s="230"/>
      <c r="HS32" s="230"/>
      <c r="HT32" s="230"/>
      <c r="HU32" s="230"/>
      <c r="HV32" s="230"/>
      <c r="HW32" s="230"/>
      <c r="HX32" s="230"/>
      <c r="HY32" s="230"/>
      <c r="HZ32" s="230"/>
      <c r="IA32" s="230"/>
      <c r="IB32" s="230"/>
      <c r="IC32" s="230"/>
      <c r="ID32" s="230"/>
      <c r="IE32" s="230"/>
      <c r="IF32" s="230"/>
      <c r="IG32" s="230"/>
      <c r="IH32" s="230"/>
      <c r="II32" s="230"/>
      <c r="IJ32" s="230"/>
      <c r="IK32" s="230"/>
      <c r="IL32" s="230"/>
      <c r="IM32" s="230"/>
      <c r="IN32" s="230"/>
      <c r="IO32" s="230"/>
      <c r="IP32" s="230"/>
      <c r="IQ32" s="230"/>
      <c r="IR32" s="230"/>
      <c r="IS32" s="230"/>
    </row>
    <row r="33" spans="1:253">
      <c r="A33" s="179"/>
      <c r="B33" s="179"/>
      <c r="C33" s="230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  <c r="II33" s="179"/>
      <c r="IJ33" s="179"/>
      <c r="IK33" s="179"/>
      <c r="IL33" s="179"/>
      <c r="IM33" s="179"/>
      <c r="IN33" s="179"/>
      <c r="IO33" s="179"/>
      <c r="IP33" s="179"/>
      <c r="IQ33" s="179"/>
      <c r="IR33" s="179"/>
      <c r="IS33" s="179"/>
    </row>
    <row r="34" spans="1:253">
      <c r="A34" s="180" t="s">
        <v>1606</v>
      </c>
      <c r="B34" s="179"/>
      <c r="C34" s="198">
        <f>C36+C39+C40+C41+C43+C44+C45+C37+C38</f>
        <v>117733.60218614554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  <c r="II34" s="179"/>
      <c r="IJ34" s="179"/>
      <c r="IK34" s="179"/>
      <c r="IL34" s="179"/>
      <c r="IM34" s="179"/>
      <c r="IN34" s="179"/>
      <c r="IO34" s="179"/>
      <c r="IP34" s="179"/>
      <c r="IQ34" s="179"/>
      <c r="IR34" s="179"/>
      <c r="IS34" s="179"/>
    </row>
    <row r="35" spans="1:253">
      <c r="A35" s="181" t="s">
        <v>599</v>
      </c>
      <c r="B35" s="179"/>
      <c r="C35" s="193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  <c r="IM35" s="179"/>
      <c r="IN35" s="179"/>
      <c r="IO35" s="179"/>
      <c r="IP35" s="179"/>
      <c r="IQ35" s="179"/>
      <c r="IR35" s="179"/>
      <c r="IS35" s="179"/>
    </row>
    <row r="36" spans="1:253" s="73" customFormat="1">
      <c r="A36" s="193" t="s">
        <v>521</v>
      </c>
      <c r="B36" s="230"/>
      <c r="C36" s="194">
        <f>959300/45797.5*C24*1.5</f>
        <v>11166.610186145532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0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0"/>
      <c r="FF36" s="230"/>
      <c r="FG36" s="230"/>
      <c r="FH36" s="230"/>
      <c r="FI36" s="230"/>
      <c r="FJ36" s="230"/>
      <c r="FK36" s="230"/>
      <c r="FL36" s="230"/>
      <c r="FM36" s="230"/>
      <c r="FN36" s="230"/>
      <c r="FO36" s="230"/>
      <c r="FP36" s="230"/>
      <c r="FQ36" s="230"/>
      <c r="FR36" s="230"/>
      <c r="FS36" s="230"/>
      <c r="FT36" s="230"/>
      <c r="FU36" s="230"/>
      <c r="FV36" s="230"/>
      <c r="FW36" s="230"/>
      <c r="FX36" s="230"/>
      <c r="FY36" s="230"/>
      <c r="FZ36" s="230"/>
      <c r="GA36" s="230"/>
      <c r="GB36" s="230"/>
      <c r="GC36" s="230"/>
      <c r="GD36" s="230"/>
      <c r="GE36" s="230"/>
      <c r="GF36" s="230"/>
      <c r="GG36" s="230"/>
      <c r="GH36" s="230"/>
      <c r="GI36" s="230"/>
      <c r="GJ36" s="230"/>
      <c r="GK36" s="230"/>
      <c r="GL36" s="230"/>
      <c r="GM36" s="230"/>
      <c r="GN36" s="230"/>
      <c r="GO36" s="230"/>
      <c r="GP36" s="230"/>
      <c r="GQ36" s="230"/>
      <c r="GR36" s="230"/>
      <c r="GS36" s="230"/>
      <c r="GT36" s="230"/>
      <c r="GU36" s="230"/>
      <c r="GV36" s="230"/>
      <c r="GW36" s="230"/>
      <c r="GX36" s="230"/>
      <c r="GY36" s="230"/>
      <c r="GZ36" s="230"/>
      <c r="HA36" s="230"/>
      <c r="HB36" s="230"/>
      <c r="HC36" s="230"/>
      <c r="HD36" s="230"/>
      <c r="HE36" s="230"/>
      <c r="HF36" s="230"/>
      <c r="HG36" s="230"/>
      <c r="HH36" s="230"/>
      <c r="HI36" s="230"/>
      <c r="HJ36" s="230"/>
      <c r="HK36" s="230"/>
      <c r="HL36" s="230"/>
      <c r="HM36" s="230"/>
      <c r="HN36" s="230"/>
      <c r="HO36" s="230"/>
      <c r="HP36" s="230"/>
      <c r="HQ36" s="230"/>
      <c r="HR36" s="230"/>
      <c r="HS36" s="230"/>
      <c r="HT36" s="230"/>
      <c r="HU36" s="230"/>
      <c r="HV36" s="230"/>
      <c r="HW36" s="230"/>
      <c r="HX36" s="230"/>
      <c r="HY36" s="230"/>
      <c r="HZ36" s="230"/>
      <c r="IA36" s="230"/>
      <c r="IB36" s="230"/>
      <c r="IC36" s="230"/>
      <c r="ID36" s="230"/>
      <c r="IE36" s="230"/>
      <c r="IF36" s="230"/>
      <c r="IG36" s="230"/>
      <c r="IH36" s="230"/>
      <c r="II36" s="230"/>
      <c r="IJ36" s="230"/>
      <c r="IK36" s="230"/>
      <c r="IL36" s="230"/>
      <c r="IM36" s="230"/>
      <c r="IN36" s="230"/>
      <c r="IO36" s="230"/>
      <c r="IP36" s="230"/>
      <c r="IQ36" s="230"/>
      <c r="IR36" s="230"/>
      <c r="IS36" s="230"/>
    </row>
    <row r="37" spans="1:253" s="73" customFormat="1">
      <c r="A37" s="193" t="s">
        <v>1570</v>
      </c>
      <c r="B37" s="230"/>
      <c r="C37" s="194">
        <f>(16197+8098+13883+16197)*1.5</f>
        <v>81562.5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0"/>
      <c r="EF37" s="230"/>
      <c r="EG37" s="230"/>
      <c r="EH37" s="230"/>
      <c r="EI37" s="230"/>
      <c r="EJ37" s="230"/>
      <c r="EK37" s="230"/>
      <c r="EL37" s="230"/>
      <c r="EM37" s="230"/>
      <c r="EN37" s="230"/>
      <c r="EO37" s="230"/>
      <c r="EP37" s="230"/>
      <c r="EQ37" s="230"/>
      <c r="ER37" s="230"/>
      <c r="ES37" s="230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0"/>
      <c r="FF37" s="230"/>
      <c r="FG37" s="230"/>
      <c r="FH37" s="230"/>
      <c r="FI37" s="230"/>
      <c r="FJ37" s="230"/>
      <c r="FK37" s="230"/>
      <c r="FL37" s="230"/>
      <c r="FM37" s="230"/>
      <c r="FN37" s="230"/>
      <c r="FO37" s="230"/>
      <c r="FP37" s="230"/>
      <c r="FQ37" s="230"/>
      <c r="FR37" s="230"/>
      <c r="FS37" s="230"/>
      <c r="FT37" s="230"/>
      <c r="FU37" s="230"/>
      <c r="FV37" s="230"/>
      <c r="FW37" s="230"/>
      <c r="FX37" s="230"/>
      <c r="FY37" s="230"/>
      <c r="FZ37" s="230"/>
      <c r="GA37" s="230"/>
      <c r="GB37" s="230"/>
      <c r="GC37" s="230"/>
      <c r="GD37" s="230"/>
      <c r="GE37" s="230"/>
      <c r="GF37" s="230"/>
      <c r="GG37" s="230"/>
      <c r="GH37" s="230"/>
      <c r="GI37" s="230"/>
      <c r="GJ37" s="230"/>
      <c r="GK37" s="230"/>
      <c r="GL37" s="230"/>
      <c r="GM37" s="230"/>
      <c r="GN37" s="230"/>
      <c r="GO37" s="230"/>
      <c r="GP37" s="230"/>
      <c r="GQ37" s="230"/>
      <c r="GR37" s="230"/>
      <c r="GS37" s="230"/>
      <c r="GT37" s="230"/>
      <c r="GU37" s="230"/>
      <c r="GV37" s="230"/>
      <c r="GW37" s="230"/>
      <c r="GX37" s="230"/>
      <c r="GY37" s="230"/>
      <c r="GZ37" s="230"/>
      <c r="HA37" s="230"/>
      <c r="HB37" s="230"/>
      <c r="HC37" s="230"/>
      <c r="HD37" s="230"/>
      <c r="HE37" s="230"/>
      <c r="HF37" s="230"/>
      <c r="HG37" s="230"/>
      <c r="HH37" s="230"/>
      <c r="HI37" s="230"/>
      <c r="HJ37" s="230"/>
      <c r="HK37" s="230"/>
      <c r="HL37" s="230"/>
      <c r="HM37" s="230"/>
      <c r="HN37" s="230"/>
      <c r="HO37" s="230"/>
      <c r="HP37" s="230"/>
      <c r="HQ37" s="230"/>
      <c r="HR37" s="230"/>
      <c r="HS37" s="230"/>
      <c r="HT37" s="230"/>
      <c r="HU37" s="230"/>
      <c r="HV37" s="230"/>
      <c r="HW37" s="230"/>
      <c r="HX37" s="230"/>
      <c r="HY37" s="230"/>
      <c r="HZ37" s="230"/>
      <c r="IA37" s="230"/>
      <c r="IB37" s="230"/>
      <c r="IC37" s="230"/>
      <c r="ID37" s="230"/>
      <c r="IE37" s="230"/>
      <c r="IF37" s="230"/>
      <c r="IG37" s="230"/>
      <c r="IH37" s="230"/>
      <c r="II37" s="230"/>
      <c r="IJ37" s="230"/>
      <c r="IK37" s="230"/>
      <c r="IL37" s="230"/>
      <c r="IM37" s="230"/>
      <c r="IN37" s="230"/>
      <c r="IO37" s="230"/>
      <c r="IP37" s="230"/>
      <c r="IQ37" s="230"/>
      <c r="IR37" s="230"/>
      <c r="IS37" s="230"/>
    </row>
    <row r="38" spans="1:253" s="73" customFormat="1">
      <c r="A38" s="193" t="s">
        <v>987</v>
      </c>
      <c r="B38" s="230"/>
      <c r="C38" s="194">
        <f>0.31*C24*12*1.5</f>
        <v>1983.1320000000001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  <c r="HV38" s="230"/>
      <c r="HW38" s="230"/>
      <c r="HX38" s="230"/>
      <c r="HY38" s="230"/>
      <c r="HZ38" s="230"/>
      <c r="IA38" s="230"/>
      <c r="IB38" s="230"/>
      <c r="IC38" s="230"/>
      <c r="ID38" s="230"/>
      <c r="IE38" s="230"/>
      <c r="IF38" s="230"/>
      <c r="IG38" s="230"/>
      <c r="IH38" s="230"/>
      <c r="II38" s="230"/>
      <c r="IJ38" s="230"/>
      <c r="IK38" s="230"/>
      <c r="IL38" s="230"/>
      <c r="IM38" s="230"/>
      <c r="IN38" s="230"/>
      <c r="IO38" s="230"/>
      <c r="IP38" s="230"/>
      <c r="IQ38" s="230"/>
      <c r="IR38" s="230"/>
      <c r="IS38" s="230"/>
    </row>
    <row r="39" spans="1:253" s="73" customFormat="1">
      <c r="A39" s="193" t="s">
        <v>520</v>
      </c>
      <c r="B39" s="230"/>
      <c r="C39" s="194">
        <f>0.89*12*C24*1.5</f>
        <v>5693.5079999999998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  <c r="HV39" s="230"/>
      <c r="HW39" s="230"/>
      <c r="HX39" s="230"/>
      <c r="HY39" s="230"/>
      <c r="HZ39" s="230"/>
      <c r="IA39" s="230"/>
      <c r="IB39" s="230"/>
      <c r="IC39" s="230"/>
      <c r="ID39" s="230"/>
      <c r="IE39" s="230"/>
      <c r="IF39" s="230"/>
      <c r="IG39" s="230"/>
      <c r="IH39" s="230"/>
      <c r="II39" s="230"/>
      <c r="IJ39" s="230"/>
      <c r="IK39" s="230"/>
      <c r="IL39" s="230"/>
      <c r="IM39" s="230"/>
      <c r="IN39" s="230"/>
      <c r="IO39" s="230"/>
      <c r="IP39" s="230"/>
      <c r="IQ39" s="230"/>
      <c r="IR39" s="230"/>
      <c r="IS39" s="230"/>
    </row>
    <row r="40" spans="1:253">
      <c r="A40" s="181" t="s">
        <v>600</v>
      </c>
      <c r="B40" s="179"/>
      <c r="C40" s="194">
        <f>11*70*1.5</f>
        <v>1155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  <c r="GN40" s="179"/>
      <c r="GO40" s="179"/>
      <c r="GP40" s="179"/>
      <c r="GQ40" s="179"/>
      <c r="GR40" s="179"/>
      <c r="GS40" s="179"/>
      <c r="GT40" s="179"/>
      <c r="GU40" s="179"/>
      <c r="GV40" s="179"/>
      <c r="GW40" s="179"/>
      <c r="GX40" s="179"/>
      <c r="GY40" s="179"/>
      <c r="GZ40" s="179"/>
      <c r="HA40" s="179"/>
      <c r="HB40" s="179"/>
      <c r="HC40" s="179"/>
      <c r="HD40" s="179"/>
      <c r="HE40" s="179"/>
      <c r="HF40" s="179"/>
      <c r="HG40" s="179"/>
      <c r="HH40" s="179"/>
      <c r="HI40" s="179"/>
      <c r="HJ40" s="179"/>
      <c r="HK40" s="179"/>
      <c r="HL40" s="179"/>
      <c r="HM40" s="179"/>
      <c r="HN40" s="179"/>
      <c r="HO40" s="179"/>
      <c r="HP40" s="179"/>
      <c r="HQ40" s="179"/>
      <c r="HR40" s="179"/>
      <c r="HS40" s="179"/>
      <c r="HT40" s="179"/>
      <c r="HU40" s="179"/>
      <c r="HV40" s="179"/>
      <c r="HW40" s="179"/>
      <c r="HX40" s="179"/>
      <c r="HY40" s="179"/>
      <c r="HZ40" s="179"/>
      <c r="IA40" s="179"/>
      <c r="IB40" s="179"/>
      <c r="IC40" s="179"/>
      <c r="ID40" s="179"/>
      <c r="IE40" s="179"/>
      <c r="IF40" s="179"/>
      <c r="IG40" s="179"/>
      <c r="IH40" s="179"/>
      <c r="II40" s="179"/>
      <c r="IJ40" s="179"/>
      <c r="IK40" s="179"/>
      <c r="IL40" s="179"/>
      <c r="IM40" s="179"/>
      <c r="IN40" s="179"/>
      <c r="IO40" s="179"/>
      <c r="IP40" s="179"/>
      <c r="IQ40" s="179"/>
      <c r="IR40" s="179"/>
      <c r="IS40" s="179"/>
    </row>
    <row r="41" spans="1:253" s="73" customFormat="1">
      <c r="A41" s="193" t="s">
        <v>1671</v>
      </c>
      <c r="B41" s="230"/>
      <c r="C41" s="194">
        <f>0.02*9100*13*1.302*1.5</f>
        <v>4620.7980000000007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  <c r="IO41" s="230"/>
      <c r="IP41" s="230"/>
      <c r="IQ41" s="230"/>
      <c r="IR41" s="230"/>
      <c r="IS41" s="230"/>
    </row>
    <row r="42" spans="1:253">
      <c r="A42" s="181" t="s">
        <v>602</v>
      </c>
      <c r="B42" s="179"/>
      <c r="C42" s="194">
        <f>C21</f>
        <v>21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  <c r="GU42" s="179"/>
      <c r="GV42" s="179"/>
      <c r="GW42" s="179"/>
      <c r="GX42" s="179"/>
      <c r="GY42" s="179"/>
      <c r="GZ42" s="179"/>
      <c r="HA42" s="179"/>
      <c r="HB42" s="179"/>
      <c r="HC42" s="179"/>
      <c r="HD42" s="179"/>
      <c r="HE42" s="179"/>
      <c r="HF42" s="179"/>
      <c r="HG42" s="179"/>
      <c r="HH42" s="179"/>
      <c r="HI42" s="179"/>
      <c r="HJ42" s="179"/>
      <c r="HK42" s="179"/>
      <c r="HL42" s="179"/>
      <c r="HM42" s="179"/>
      <c r="HN42" s="179"/>
      <c r="HO42" s="179"/>
      <c r="HP42" s="179"/>
      <c r="HQ42" s="179"/>
      <c r="HR42" s="179"/>
      <c r="HS42" s="179"/>
      <c r="HT42" s="179"/>
      <c r="HU42" s="179"/>
      <c r="HV42" s="179"/>
      <c r="HW42" s="179"/>
      <c r="HX42" s="179"/>
      <c r="HY42" s="179"/>
      <c r="HZ42" s="179"/>
      <c r="IA42" s="179"/>
      <c r="IB42" s="179"/>
      <c r="IC42" s="179"/>
      <c r="ID42" s="179"/>
      <c r="IE42" s="179"/>
      <c r="IF42" s="179"/>
      <c r="IG42" s="179"/>
      <c r="IH42" s="179"/>
      <c r="II42" s="179"/>
      <c r="IJ42" s="179"/>
      <c r="IK42" s="179"/>
      <c r="IL42" s="179"/>
      <c r="IM42" s="179"/>
      <c r="IN42" s="179"/>
      <c r="IO42" s="179"/>
      <c r="IP42" s="179"/>
      <c r="IQ42" s="179"/>
      <c r="IR42" s="179"/>
      <c r="IS42" s="179"/>
    </row>
    <row r="43" spans="1:253">
      <c r="A43" s="181" t="s">
        <v>603</v>
      </c>
      <c r="B43" s="179"/>
      <c r="C43" s="194">
        <f>C42*130*1.302*1.5</f>
        <v>5331.6900000000005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  <c r="GV43" s="179"/>
      <c r="GW43" s="179"/>
      <c r="GX43" s="179"/>
      <c r="GY43" s="179"/>
      <c r="GZ43" s="179"/>
      <c r="HA43" s="179"/>
      <c r="HB43" s="179"/>
      <c r="HC43" s="179"/>
      <c r="HD43" s="179"/>
      <c r="HE43" s="179"/>
      <c r="HF43" s="179"/>
      <c r="HG43" s="179"/>
      <c r="HH43" s="179"/>
      <c r="HI43" s="179"/>
      <c r="HJ43" s="179"/>
      <c r="HK43" s="179"/>
      <c r="HL43" s="179"/>
      <c r="HM43" s="179"/>
      <c r="HN43" s="179"/>
      <c r="HO43" s="179"/>
      <c r="HP43" s="179"/>
      <c r="HQ43" s="179"/>
      <c r="HR43" s="179"/>
      <c r="HS43" s="179"/>
      <c r="HT43" s="179"/>
      <c r="HU43" s="179"/>
      <c r="HV43" s="179"/>
      <c r="HW43" s="179"/>
      <c r="HX43" s="179"/>
      <c r="HY43" s="179"/>
      <c r="HZ43" s="179"/>
      <c r="IA43" s="179"/>
      <c r="IB43" s="179"/>
      <c r="IC43" s="179"/>
      <c r="ID43" s="179"/>
      <c r="IE43" s="179"/>
      <c r="IF43" s="179"/>
      <c r="IG43" s="179"/>
      <c r="IH43" s="179"/>
      <c r="II43" s="179"/>
      <c r="IJ43" s="179"/>
      <c r="IK43" s="179"/>
      <c r="IL43" s="179"/>
      <c r="IM43" s="179"/>
      <c r="IN43" s="179"/>
      <c r="IO43" s="179"/>
      <c r="IP43" s="179"/>
      <c r="IQ43" s="179"/>
      <c r="IR43" s="179"/>
      <c r="IS43" s="179"/>
    </row>
    <row r="44" spans="1:253" s="73" customFormat="1">
      <c r="A44" s="193" t="s">
        <v>1611</v>
      </c>
      <c r="B44" s="230"/>
      <c r="C44" s="194">
        <f>C28</f>
        <v>691.68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0"/>
      <c r="GF44" s="230"/>
      <c r="GG44" s="230"/>
      <c r="GH44" s="230"/>
      <c r="GI44" s="230"/>
      <c r="GJ44" s="230"/>
      <c r="GK44" s="230"/>
      <c r="GL44" s="230"/>
      <c r="GM44" s="230"/>
      <c r="GN44" s="230"/>
      <c r="GO44" s="230"/>
      <c r="GP44" s="230"/>
      <c r="GQ44" s="230"/>
      <c r="GR44" s="230"/>
      <c r="GS44" s="230"/>
      <c r="GT44" s="230"/>
      <c r="GU44" s="230"/>
      <c r="GV44" s="230"/>
      <c r="GW44" s="230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0"/>
      <c r="HQ44" s="230"/>
      <c r="HR44" s="230"/>
      <c r="HS44" s="230"/>
      <c r="HT44" s="230"/>
      <c r="HU44" s="230"/>
      <c r="HV44" s="230"/>
      <c r="HW44" s="230"/>
      <c r="HX44" s="230"/>
      <c r="HY44" s="230"/>
      <c r="HZ44" s="230"/>
      <c r="IA44" s="230"/>
      <c r="IB44" s="230"/>
      <c r="IC44" s="230"/>
      <c r="ID44" s="230"/>
      <c r="IE44" s="230"/>
      <c r="IF44" s="230"/>
      <c r="IG44" s="230"/>
      <c r="IH44" s="230"/>
      <c r="II44" s="230"/>
      <c r="IJ44" s="230"/>
      <c r="IK44" s="230"/>
      <c r="IL44" s="230"/>
      <c r="IM44" s="230"/>
      <c r="IN44" s="230"/>
      <c r="IO44" s="230"/>
      <c r="IP44" s="230"/>
      <c r="IQ44" s="230"/>
      <c r="IR44" s="230"/>
      <c r="IS44" s="230"/>
    </row>
    <row r="45" spans="1:253">
      <c r="A45" s="181" t="s">
        <v>724</v>
      </c>
      <c r="B45" s="179"/>
      <c r="C45" s="194">
        <f>3949.06*1.4</f>
        <v>5528.6839999999993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79"/>
      <c r="HL45" s="179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179"/>
      <c r="IA45" s="179"/>
      <c r="IB45" s="179"/>
      <c r="IC45" s="179"/>
      <c r="ID45" s="179"/>
      <c r="IE45" s="179"/>
      <c r="IF45" s="179"/>
      <c r="IG45" s="179"/>
      <c r="IH45" s="179"/>
      <c r="II45" s="179"/>
      <c r="IJ45" s="179"/>
      <c r="IK45" s="179"/>
      <c r="IL45" s="179"/>
      <c r="IM45" s="179"/>
      <c r="IN45" s="179"/>
      <c r="IO45" s="179"/>
      <c r="IP45" s="179"/>
      <c r="IQ45" s="179"/>
      <c r="IR45" s="179"/>
      <c r="IS45" s="179"/>
    </row>
    <row r="46" spans="1:253">
      <c r="A46" s="181" t="s">
        <v>1617</v>
      </c>
      <c r="B46" s="179"/>
      <c r="C46" s="194">
        <v>341.4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  <c r="GU46" s="179"/>
      <c r="GV46" s="179"/>
      <c r="GW46" s="179"/>
      <c r="GX46" s="179"/>
      <c r="GY46" s="179"/>
      <c r="GZ46" s="179"/>
      <c r="HA46" s="179"/>
      <c r="HB46" s="179"/>
      <c r="HC46" s="179"/>
      <c r="HD46" s="179"/>
      <c r="HE46" s="179"/>
      <c r="HF46" s="179"/>
      <c r="HG46" s="179"/>
      <c r="HH46" s="179"/>
      <c r="HI46" s="179"/>
      <c r="HJ46" s="179"/>
      <c r="HK46" s="179"/>
      <c r="HL46" s="179"/>
      <c r="HM46" s="179"/>
      <c r="HN46" s="179"/>
      <c r="HO46" s="179"/>
      <c r="HP46" s="179"/>
      <c r="HQ46" s="179"/>
      <c r="HR46" s="179"/>
      <c r="HS46" s="179"/>
      <c r="HT46" s="179"/>
      <c r="HU46" s="179"/>
      <c r="HV46" s="179"/>
      <c r="HW46" s="179"/>
      <c r="HX46" s="179"/>
      <c r="HY46" s="179"/>
      <c r="HZ46" s="179"/>
      <c r="IA46" s="179"/>
      <c r="IB46" s="179"/>
      <c r="IC46" s="179"/>
      <c r="ID46" s="179"/>
      <c r="IE46" s="179"/>
      <c r="IF46" s="179"/>
      <c r="IG46" s="179"/>
      <c r="IH46" s="179"/>
      <c r="II46" s="179"/>
      <c r="IJ46" s="179"/>
      <c r="IK46" s="179"/>
      <c r="IL46" s="179"/>
      <c r="IM46" s="179"/>
      <c r="IN46" s="179"/>
      <c r="IO46" s="179"/>
      <c r="IP46" s="179"/>
      <c r="IQ46" s="179"/>
      <c r="IR46" s="179"/>
      <c r="IS46" s="179"/>
    </row>
    <row r="47" spans="1:253">
      <c r="A47" s="181" t="s">
        <v>1762</v>
      </c>
      <c r="B47" s="179"/>
      <c r="C47" s="194">
        <f>C32-C34-C46</f>
        <v>31423.387813854475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179"/>
      <c r="IM47" s="179"/>
      <c r="IN47" s="179"/>
      <c r="IO47" s="179"/>
      <c r="IP47" s="179"/>
      <c r="IQ47" s="179"/>
      <c r="IR47" s="179"/>
      <c r="IS47" s="179"/>
    </row>
    <row r="48" spans="1:253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  <c r="GV48" s="179"/>
      <c r="GW48" s="179"/>
      <c r="GX48" s="179"/>
      <c r="GY48" s="179"/>
      <c r="GZ48" s="179"/>
      <c r="HA48" s="179"/>
      <c r="HB48" s="179"/>
      <c r="HC48" s="179"/>
      <c r="HD48" s="179"/>
      <c r="HE48" s="179"/>
      <c r="HF48" s="179"/>
      <c r="HG48" s="179"/>
      <c r="HH48" s="179"/>
      <c r="HI48" s="179"/>
      <c r="HJ48" s="179"/>
      <c r="HK48" s="179"/>
      <c r="HL48" s="179"/>
      <c r="HM48" s="179"/>
      <c r="HN48" s="179"/>
      <c r="HO48" s="179"/>
      <c r="HP48" s="179"/>
      <c r="HQ48" s="179"/>
      <c r="HR48" s="179"/>
      <c r="HS48" s="179"/>
      <c r="HT48" s="179"/>
      <c r="HU48" s="179"/>
      <c r="HV48" s="179"/>
      <c r="HW48" s="179"/>
      <c r="HX48" s="179"/>
      <c r="HY48" s="179"/>
      <c r="HZ48" s="179"/>
      <c r="IA48" s="179"/>
      <c r="IB48" s="179"/>
      <c r="IC48" s="179"/>
      <c r="ID48" s="179"/>
      <c r="IE48" s="179"/>
      <c r="IF48" s="179"/>
      <c r="IG48" s="179"/>
      <c r="IH48" s="179"/>
      <c r="II48" s="179"/>
      <c r="IJ48" s="179"/>
      <c r="IK48" s="179"/>
      <c r="IL48" s="179"/>
      <c r="IM48" s="179"/>
      <c r="IN48" s="179"/>
      <c r="IO48" s="179"/>
      <c r="IP48" s="179"/>
      <c r="IQ48" s="179"/>
      <c r="IR48" s="179"/>
      <c r="IS48" s="179"/>
    </row>
    <row r="49" spans="1:253">
      <c r="A49" s="448" t="s">
        <v>605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  <c r="IP49" s="179"/>
      <c r="IQ49" s="179"/>
      <c r="IR49" s="179"/>
      <c r="IS49" s="179"/>
    </row>
    <row r="51" spans="1:253">
      <c r="A51" s="321" t="s">
        <v>1612</v>
      </c>
      <c r="C51">
        <f>6.9*C24*12</f>
        <v>29427.119999999995</v>
      </c>
    </row>
    <row r="52" spans="1:253">
      <c r="C52" s="276">
        <f>C51+C34</f>
        <v>147160.72218614555</v>
      </c>
    </row>
    <row r="53" spans="1:253">
      <c r="C53">
        <f>C52/C34</f>
        <v>1.2499466545963112</v>
      </c>
    </row>
  </sheetData>
  <mergeCells count="13">
    <mergeCell ref="A12:B12"/>
    <mergeCell ref="A21:B21"/>
    <mergeCell ref="A11:B11"/>
    <mergeCell ref="A9:B9"/>
    <mergeCell ref="A10:B10"/>
    <mergeCell ref="A6:B6"/>
    <mergeCell ref="A7:B7"/>
    <mergeCell ref="A8:B8"/>
    <mergeCell ref="A1:C1"/>
    <mergeCell ref="A2:C2"/>
    <mergeCell ref="A3:C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opLeftCell="A24" workbookViewId="0">
      <selection activeCell="A24" sqref="A24:B55"/>
    </sheetView>
  </sheetViews>
  <sheetFormatPr defaultRowHeight="15"/>
  <cols>
    <col min="1" max="1" width="79.85546875" customWidth="1"/>
    <col min="2" max="2" width="14" customWidth="1"/>
    <col min="3" max="3" width="11.42578125" customWidth="1"/>
  </cols>
  <sheetData>
    <row r="1" spans="1:2" ht="15.75">
      <c r="A1" s="701" t="s">
        <v>364</v>
      </c>
      <c r="B1" s="701"/>
    </row>
    <row r="2" spans="1:2" ht="18.75" customHeight="1">
      <c r="A2" s="704" t="s">
        <v>1578</v>
      </c>
      <c r="B2" s="704"/>
    </row>
    <row r="3" spans="1:2" s="55" customFormat="1" ht="15.75">
      <c r="A3" s="702" t="s">
        <v>1657</v>
      </c>
      <c r="B3" s="702"/>
    </row>
    <row r="4" spans="1:2" ht="36" customHeight="1" thickBot="1">
      <c r="A4" s="471" t="s">
        <v>229</v>
      </c>
      <c r="B4" s="82" t="s">
        <v>523</v>
      </c>
    </row>
    <row r="5" spans="1:2" ht="15.75" thickBot="1">
      <c r="A5" s="451" t="s">
        <v>56</v>
      </c>
      <c r="B5" s="72"/>
    </row>
    <row r="6" spans="1:2">
      <c r="A6" s="472" t="s">
        <v>57</v>
      </c>
      <c r="B6" s="123"/>
    </row>
    <row r="7" spans="1:2" s="73" customFormat="1" ht="27.75" customHeight="1">
      <c r="A7" s="483" t="s">
        <v>835</v>
      </c>
      <c r="B7" s="72">
        <v>4</v>
      </c>
    </row>
    <row r="8" spans="1:2" s="73" customFormat="1" ht="27.75" customHeight="1">
      <c r="A8" s="483" t="s">
        <v>1650</v>
      </c>
      <c r="B8" s="72">
        <v>6</v>
      </c>
    </row>
    <row r="9" spans="1:2" s="73" customFormat="1" ht="27.75" customHeight="1">
      <c r="A9" s="483" t="s">
        <v>1652</v>
      </c>
      <c r="B9" s="72">
        <v>4</v>
      </c>
    </row>
    <row r="10" spans="1:2">
      <c r="A10" s="345" t="s">
        <v>66</v>
      </c>
      <c r="B10" s="72"/>
    </row>
    <row r="11" spans="1:2">
      <c r="A11" s="453" t="s">
        <v>90</v>
      </c>
      <c r="B11" s="72"/>
    </row>
    <row r="12" spans="1:2" s="73" customFormat="1" ht="30" customHeight="1">
      <c r="A12" s="97" t="s">
        <v>829</v>
      </c>
      <c r="B12" s="72">
        <v>3</v>
      </c>
    </row>
    <row r="13" spans="1:2" s="73" customFormat="1" ht="18.75" customHeight="1">
      <c r="A13" s="478" t="s">
        <v>830</v>
      </c>
      <c r="B13" s="72">
        <v>10</v>
      </c>
    </row>
    <row r="14" spans="1:2" s="73" customFormat="1" ht="38.25" customHeight="1">
      <c r="A14" s="478" t="s">
        <v>831</v>
      </c>
      <c r="B14" s="72">
        <v>36</v>
      </c>
    </row>
    <row r="15" spans="1:2" s="73" customFormat="1" ht="38.25" customHeight="1">
      <c r="A15" s="478" t="s">
        <v>832</v>
      </c>
      <c r="B15" s="72">
        <v>4.5</v>
      </c>
    </row>
    <row r="16" spans="1:2" s="73" customFormat="1" ht="38.25" customHeight="1">
      <c r="A16" s="478" t="s">
        <v>833</v>
      </c>
      <c r="B16" s="72">
        <v>2</v>
      </c>
    </row>
    <row r="17" spans="1:251" s="73" customFormat="1" ht="38.25" customHeight="1">
      <c r="A17" s="122" t="s">
        <v>834</v>
      </c>
      <c r="B17" s="72">
        <v>1</v>
      </c>
    </row>
    <row r="18" spans="1:251" s="73" customFormat="1" ht="46.5" customHeight="1">
      <c r="A18" s="484" t="s">
        <v>1651</v>
      </c>
      <c r="B18" s="72">
        <v>8</v>
      </c>
    </row>
    <row r="19" spans="1:251" s="73" customFormat="1" ht="24" customHeight="1">
      <c r="A19" s="484" t="s">
        <v>1654</v>
      </c>
      <c r="B19" s="72">
        <f>4*8</f>
        <v>32</v>
      </c>
    </row>
    <row r="20" spans="1:251" s="73" customFormat="1" ht="24" customHeight="1">
      <c r="A20" s="484" t="s">
        <v>1655</v>
      </c>
      <c r="B20" s="72">
        <v>3</v>
      </c>
    </row>
    <row r="21" spans="1:251" ht="15" customHeight="1">
      <c r="A21" s="453" t="s">
        <v>102</v>
      </c>
      <c r="B21" s="72"/>
      <c r="F21" s="73"/>
    </row>
    <row r="22" spans="1:251">
      <c r="A22" s="473" t="s">
        <v>587</v>
      </c>
      <c r="B22" s="72">
        <f>SUM(B7:B21)</f>
        <v>113.5</v>
      </c>
      <c r="F22" s="73"/>
    </row>
    <row r="23" spans="1:251">
      <c r="A23" s="175"/>
      <c r="B23" s="86"/>
      <c r="F23" s="73"/>
    </row>
    <row r="24" spans="1:251" ht="15.75">
      <c r="A24" s="701" t="s">
        <v>364</v>
      </c>
      <c r="B24" s="701"/>
    </row>
    <row r="25" spans="1:251" ht="15.75">
      <c r="A25" s="702" t="s">
        <v>1578</v>
      </c>
      <c r="B25" s="702"/>
    </row>
    <row r="26" spans="1:251" s="55" customFormat="1" ht="15.75">
      <c r="A26" s="702" t="s">
        <v>1637</v>
      </c>
      <c r="B26" s="702"/>
      <c r="F26"/>
    </row>
    <row r="27" spans="1:251">
      <c r="A27" s="78"/>
      <c r="B27" s="75"/>
      <c r="F27" s="55"/>
    </row>
    <row r="28" spans="1:251" s="179" customFormat="1" ht="40.5" customHeight="1">
      <c r="A28" s="322" t="s">
        <v>654</v>
      </c>
      <c r="B28" s="437" t="s">
        <v>1132</v>
      </c>
      <c r="IQ28"/>
    </row>
    <row r="29" spans="1:251">
      <c r="A29" s="457" t="s">
        <v>1659</v>
      </c>
      <c r="B29" s="196">
        <v>208.8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</row>
    <row r="30" spans="1:251">
      <c r="A30" s="217" t="s">
        <v>594</v>
      </c>
      <c r="B30" s="196">
        <v>17.829999999999998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 s="179"/>
      <c r="HK30" s="179"/>
      <c r="HL30" s="179"/>
      <c r="HM30" s="179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</row>
    <row r="31" spans="1:251">
      <c r="A31" s="218" t="s">
        <v>711</v>
      </c>
      <c r="B31" s="193">
        <v>18331.72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</row>
    <row r="32" spans="1:251">
      <c r="A32" s="218" t="s">
        <v>1123</v>
      </c>
      <c r="B32" s="193">
        <v>44674.92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</row>
    <row r="33" spans="1:250">
      <c r="A33" s="218" t="s">
        <v>596</v>
      </c>
      <c r="B33" s="193">
        <f>919.8+285.1</f>
        <v>1204.9000000000001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  <c r="II33" s="179"/>
      <c r="IJ33" s="179"/>
      <c r="IK33" s="179"/>
      <c r="IL33" s="179"/>
      <c r="IM33" s="179"/>
      <c r="IN33" s="179"/>
      <c r="IO33" s="179"/>
      <c r="IP33" s="179"/>
    </row>
    <row r="34" spans="1:250">
      <c r="A34" s="218" t="s">
        <v>1656</v>
      </c>
      <c r="B34" s="193">
        <v>7500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  <c r="II34" s="179"/>
      <c r="IJ34" s="179"/>
      <c r="IK34" s="179"/>
      <c r="IL34" s="179"/>
      <c r="IM34" s="179"/>
      <c r="IN34" s="179"/>
      <c r="IO34" s="179"/>
      <c r="IP34" s="179"/>
    </row>
    <row r="35" spans="1:250">
      <c r="A35" s="218" t="s">
        <v>798</v>
      </c>
      <c r="B35" s="193">
        <f>B31+B32+B33-B36+B34</f>
        <v>41817.86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  <c r="IM35" s="179"/>
      <c r="IN35" s="179"/>
      <c r="IO35" s="179"/>
      <c r="IP35" s="179"/>
    </row>
    <row r="36" spans="1:250">
      <c r="A36" s="218" t="s">
        <v>1124</v>
      </c>
      <c r="B36" s="193">
        <v>29893.68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79"/>
      <c r="GN36" s="179"/>
      <c r="GO36" s="179"/>
      <c r="GP36" s="179"/>
      <c r="GQ36" s="179"/>
      <c r="GR36" s="179"/>
      <c r="GS36" s="179"/>
      <c r="GT36" s="179"/>
      <c r="GU36" s="179"/>
      <c r="GV36" s="179"/>
      <c r="GW36" s="179"/>
      <c r="GX36" s="179"/>
      <c r="GY36" s="179"/>
      <c r="GZ36" s="179"/>
      <c r="HA36" s="179"/>
      <c r="HB36" s="179"/>
      <c r="HC36" s="179"/>
      <c r="HD36" s="179"/>
      <c r="HE36" s="179"/>
      <c r="HF36" s="179"/>
      <c r="HG36" s="179"/>
      <c r="HH36" s="179"/>
      <c r="HI36" s="179"/>
      <c r="HJ36" s="179"/>
      <c r="HK36" s="179"/>
      <c r="HL36" s="179"/>
      <c r="HM36" s="179"/>
      <c r="HN36" s="179"/>
      <c r="HO36" s="179"/>
      <c r="HP36" s="179"/>
      <c r="HQ36" s="179"/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  <c r="II36" s="179"/>
      <c r="IJ36" s="179"/>
      <c r="IK36" s="179"/>
      <c r="IL36" s="179"/>
      <c r="IM36" s="179"/>
      <c r="IN36" s="179"/>
      <c r="IO36" s="179"/>
      <c r="IP36" s="179"/>
    </row>
    <row r="37" spans="1:250" ht="29.25" customHeight="1">
      <c r="A37" s="216" t="s">
        <v>1555</v>
      </c>
      <c r="B37" s="196">
        <f>B35</f>
        <v>41817.86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79"/>
      <c r="GN37" s="179"/>
      <c r="GO37" s="179"/>
      <c r="GP37" s="179"/>
      <c r="GQ37" s="179"/>
      <c r="GR37" s="179"/>
      <c r="GS37" s="179"/>
      <c r="GT37" s="179"/>
      <c r="GU37" s="179"/>
      <c r="GV37" s="179"/>
      <c r="GW37" s="179"/>
      <c r="GX37" s="179"/>
      <c r="GY37" s="179"/>
      <c r="GZ37" s="179"/>
      <c r="HA37" s="179"/>
      <c r="HB37" s="179"/>
      <c r="HC37" s="179"/>
      <c r="HD37" s="179"/>
      <c r="HE37" s="179"/>
      <c r="HF37" s="179"/>
      <c r="HG37" s="179"/>
      <c r="HH37" s="179"/>
      <c r="HI37" s="179"/>
      <c r="HJ37" s="179"/>
      <c r="HK37" s="179"/>
      <c r="HL37" s="179"/>
      <c r="HM37" s="179"/>
      <c r="HN37" s="179"/>
      <c r="HO37" s="179"/>
      <c r="HP37" s="179"/>
      <c r="HQ37" s="179"/>
      <c r="HR37" s="179"/>
      <c r="HS37" s="179"/>
      <c r="HT37" s="179"/>
      <c r="HU37" s="179"/>
      <c r="HV37" s="179"/>
      <c r="HW37" s="179"/>
      <c r="HX37" s="179"/>
      <c r="HY37" s="179"/>
      <c r="HZ37" s="179"/>
      <c r="IA37" s="179"/>
      <c r="IB37" s="179"/>
      <c r="IC37" s="179"/>
      <c r="ID37" s="179"/>
      <c r="IE37" s="179"/>
      <c r="IF37" s="179"/>
      <c r="IG37" s="179"/>
      <c r="IH37" s="179"/>
      <c r="II37" s="179"/>
      <c r="IJ37" s="179"/>
      <c r="IK37" s="179"/>
      <c r="IL37" s="179"/>
      <c r="IM37" s="179"/>
      <c r="IN37" s="179"/>
      <c r="IO37" s="179"/>
      <c r="IP37" s="179"/>
    </row>
    <row r="38" spans="1:250">
      <c r="A38" s="179"/>
      <c r="B38" s="213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  <c r="GV38" s="179"/>
      <c r="GW38" s="179"/>
      <c r="GX38" s="179"/>
      <c r="GY38" s="179"/>
      <c r="GZ38" s="179"/>
      <c r="HA38" s="179"/>
      <c r="HB38" s="179"/>
      <c r="HC38" s="179"/>
      <c r="HD38" s="179"/>
      <c r="HE38" s="179"/>
      <c r="HF38" s="179"/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79"/>
      <c r="IN38" s="179"/>
      <c r="IO38" s="179"/>
      <c r="IP38" s="179"/>
    </row>
    <row r="39" spans="1:250">
      <c r="A39" s="217" t="s">
        <v>1130</v>
      </c>
      <c r="B39" s="198">
        <f>B41+B42+B43+B44+B46+B48+B51+B49+B50</f>
        <v>50201.362874742073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79"/>
      <c r="GN39" s="179"/>
      <c r="GO39" s="179"/>
      <c r="GP39" s="179"/>
      <c r="GQ39" s="179"/>
      <c r="GR39" s="179"/>
      <c r="GS39" s="179"/>
      <c r="GT39" s="179"/>
      <c r="GU39" s="179"/>
      <c r="GV39" s="179"/>
      <c r="GW39" s="179"/>
      <c r="GX39" s="179"/>
      <c r="GY39" s="179"/>
      <c r="GZ39" s="179"/>
      <c r="HA39" s="179"/>
      <c r="HB39" s="179"/>
      <c r="HC39" s="179"/>
      <c r="HD39" s="179"/>
      <c r="HE39" s="179"/>
      <c r="HF39" s="179"/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  <c r="ID39" s="179"/>
      <c r="IE39" s="179"/>
      <c r="IF39" s="179"/>
      <c r="IG39" s="179"/>
      <c r="IH39" s="179"/>
      <c r="II39" s="179"/>
      <c r="IJ39" s="179"/>
      <c r="IK39" s="179"/>
      <c r="IL39" s="179"/>
      <c r="IM39" s="179"/>
      <c r="IN39" s="179"/>
      <c r="IO39" s="179"/>
      <c r="IP39" s="179"/>
    </row>
    <row r="40" spans="1:250">
      <c r="A40" s="218" t="s">
        <v>599</v>
      </c>
      <c r="B40" s="193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  <c r="GN40" s="179"/>
      <c r="GO40" s="179"/>
      <c r="GP40" s="179"/>
      <c r="GQ40" s="179"/>
      <c r="GR40" s="179"/>
      <c r="GS40" s="179"/>
      <c r="GT40" s="179"/>
      <c r="GU40" s="179"/>
      <c r="GV40" s="179"/>
      <c r="GW40" s="179"/>
      <c r="GX40" s="179"/>
      <c r="GY40" s="179"/>
      <c r="GZ40" s="179"/>
      <c r="HA40" s="179"/>
      <c r="HB40" s="179"/>
      <c r="HC40" s="179"/>
      <c r="HD40" s="179"/>
      <c r="HE40" s="179"/>
      <c r="HF40" s="179"/>
      <c r="HG40" s="179"/>
      <c r="HH40" s="179"/>
      <c r="HI40" s="179"/>
      <c r="HJ40" s="179"/>
      <c r="HK40" s="179"/>
      <c r="HL40" s="179"/>
      <c r="HM40" s="179"/>
      <c r="HN40" s="179"/>
      <c r="HO40" s="179"/>
      <c r="HP40" s="179"/>
      <c r="HQ40" s="179"/>
      <c r="HR40" s="179"/>
      <c r="HS40" s="179"/>
      <c r="HT40" s="179"/>
      <c r="HU40" s="179"/>
      <c r="HV40" s="179"/>
      <c r="HW40" s="179"/>
      <c r="HX40" s="179"/>
      <c r="HY40" s="179"/>
      <c r="HZ40" s="179"/>
      <c r="IA40" s="179"/>
      <c r="IB40" s="179"/>
      <c r="IC40" s="179"/>
      <c r="ID40" s="179"/>
      <c r="IE40" s="179"/>
      <c r="IF40" s="179"/>
      <c r="IG40" s="179"/>
      <c r="IH40" s="179"/>
      <c r="II40" s="179"/>
      <c r="IJ40" s="179"/>
      <c r="IK40" s="179"/>
      <c r="IL40" s="179"/>
      <c r="IM40" s="179"/>
      <c r="IN40" s="179"/>
      <c r="IO40" s="179"/>
      <c r="IP40" s="179"/>
    </row>
    <row r="41" spans="1:250">
      <c r="A41" s="218" t="s">
        <v>521</v>
      </c>
      <c r="B41" s="194">
        <f>959300/45797.5*B29*1.19</f>
        <v>5204.6332136033634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  <c r="GV41" s="179"/>
      <c r="GW41" s="179"/>
      <c r="GX41" s="179"/>
      <c r="GY41" s="179"/>
      <c r="GZ41" s="179"/>
      <c r="HA41" s="179"/>
      <c r="HB41" s="179"/>
      <c r="HC41" s="179"/>
      <c r="HD41" s="179"/>
      <c r="HE41" s="179"/>
      <c r="HF41" s="179"/>
      <c r="HG41" s="179"/>
      <c r="HH41" s="179"/>
      <c r="HI41" s="179"/>
      <c r="HJ41" s="179"/>
      <c r="HK41" s="179"/>
      <c r="HL41" s="179"/>
      <c r="HM41" s="179"/>
      <c r="HN41" s="179"/>
      <c r="HO41" s="179"/>
      <c r="HP41" s="179"/>
      <c r="HQ41" s="179"/>
      <c r="HR41" s="179"/>
      <c r="HS41" s="179"/>
      <c r="HT41" s="179"/>
      <c r="HU41" s="179"/>
      <c r="HV41" s="179"/>
      <c r="HW41" s="179"/>
      <c r="HX41" s="179"/>
      <c r="HY41" s="179"/>
      <c r="HZ41" s="179"/>
      <c r="IA41" s="179"/>
      <c r="IB41" s="179"/>
      <c r="IC41" s="179"/>
      <c r="ID41" s="179"/>
      <c r="IE41" s="179"/>
      <c r="IF41" s="179"/>
      <c r="IG41" s="179"/>
      <c r="IH41" s="179"/>
      <c r="II41" s="179"/>
      <c r="IJ41" s="179"/>
      <c r="IK41" s="179"/>
      <c r="IL41" s="179"/>
      <c r="IM41" s="179"/>
      <c r="IN41" s="179"/>
      <c r="IO41" s="179"/>
      <c r="IP41" s="179"/>
    </row>
    <row r="42" spans="1:250">
      <c r="A42" s="218" t="s">
        <v>520</v>
      </c>
      <c r="B42" s="194">
        <f>0.89*B29*12*1.19</f>
        <v>2653.6809600000001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  <c r="GU42" s="179"/>
      <c r="GV42" s="179"/>
      <c r="GW42" s="179"/>
      <c r="GX42" s="179"/>
      <c r="GY42" s="179"/>
      <c r="GZ42" s="179"/>
      <c r="HA42" s="179"/>
      <c r="HB42" s="179"/>
      <c r="HC42" s="179"/>
      <c r="HD42" s="179"/>
      <c r="HE42" s="179"/>
      <c r="HF42" s="179"/>
      <c r="HG42" s="179"/>
      <c r="HH42" s="179"/>
      <c r="HI42" s="179"/>
      <c r="HJ42" s="179"/>
      <c r="HK42" s="179"/>
      <c r="HL42" s="179"/>
      <c r="HM42" s="179"/>
      <c r="HN42" s="179"/>
      <c r="HO42" s="179"/>
      <c r="HP42" s="179"/>
      <c r="HQ42" s="179"/>
      <c r="HR42" s="179"/>
      <c r="HS42" s="179"/>
      <c r="HT42" s="179"/>
      <c r="HU42" s="179"/>
      <c r="HV42" s="179"/>
      <c r="HW42" s="179"/>
      <c r="HX42" s="179"/>
      <c r="HY42" s="179"/>
      <c r="HZ42" s="179"/>
      <c r="IA42" s="179"/>
      <c r="IB42" s="179"/>
      <c r="IC42" s="179"/>
      <c r="ID42" s="179"/>
      <c r="IE42" s="179"/>
      <c r="IF42" s="179"/>
      <c r="IG42" s="179"/>
      <c r="IH42" s="179"/>
      <c r="II42" s="179"/>
      <c r="IJ42" s="179"/>
      <c r="IK42" s="179"/>
      <c r="IL42" s="179"/>
      <c r="IM42" s="179"/>
      <c r="IN42" s="179"/>
      <c r="IO42" s="179"/>
      <c r="IP42" s="179"/>
    </row>
    <row r="43" spans="1:250">
      <c r="A43" s="218" t="s">
        <v>987</v>
      </c>
      <c r="B43" s="194">
        <f>107942.65/45797.5*B29*1.19</f>
        <v>585.63734113870839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  <c r="GV43" s="179"/>
      <c r="GW43" s="179"/>
      <c r="GX43" s="179"/>
      <c r="GY43" s="179"/>
      <c r="GZ43" s="179"/>
      <c r="HA43" s="179"/>
      <c r="HB43" s="179"/>
      <c r="HC43" s="179"/>
      <c r="HD43" s="179"/>
      <c r="HE43" s="179"/>
      <c r="HF43" s="179"/>
      <c r="HG43" s="179"/>
      <c r="HH43" s="179"/>
      <c r="HI43" s="179"/>
      <c r="HJ43" s="179"/>
      <c r="HK43" s="179"/>
      <c r="HL43" s="179"/>
      <c r="HM43" s="179"/>
      <c r="HN43" s="179"/>
      <c r="HO43" s="179"/>
      <c r="HP43" s="179"/>
      <c r="HQ43" s="179"/>
      <c r="HR43" s="179"/>
      <c r="HS43" s="179"/>
      <c r="HT43" s="179"/>
      <c r="HU43" s="179"/>
      <c r="HV43" s="179"/>
      <c r="HW43" s="179"/>
      <c r="HX43" s="179"/>
      <c r="HY43" s="179"/>
      <c r="HZ43" s="179"/>
      <c r="IA43" s="179"/>
      <c r="IB43" s="179"/>
      <c r="IC43" s="179"/>
      <c r="ID43" s="179"/>
      <c r="IE43" s="179"/>
      <c r="IF43" s="179"/>
      <c r="IG43" s="179"/>
      <c r="IH43" s="179"/>
      <c r="II43" s="179"/>
      <c r="IJ43" s="179"/>
      <c r="IK43" s="179"/>
      <c r="IL43" s="179"/>
      <c r="IM43" s="179"/>
      <c r="IN43" s="179"/>
      <c r="IO43" s="179"/>
      <c r="IP43" s="179"/>
    </row>
    <row r="44" spans="1:250">
      <c r="A44" s="218" t="s">
        <v>600</v>
      </c>
      <c r="B44" s="194">
        <f>12*70*1.19</f>
        <v>999.59999999999991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79"/>
      <c r="GN44" s="179"/>
      <c r="GO44" s="179"/>
      <c r="GP44" s="179"/>
      <c r="GQ44" s="179"/>
      <c r="GR44" s="179"/>
      <c r="GS44" s="179"/>
      <c r="GT44" s="179"/>
      <c r="GU44" s="179"/>
      <c r="GV44" s="179"/>
      <c r="GW44" s="179"/>
      <c r="GX44" s="179"/>
      <c r="GY44" s="179"/>
      <c r="GZ44" s="179"/>
      <c r="HA44" s="179"/>
      <c r="HB44" s="179"/>
      <c r="HC44" s="179"/>
      <c r="HD44" s="179"/>
      <c r="HE44" s="179"/>
      <c r="HF44" s="179"/>
      <c r="HG44" s="179"/>
      <c r="HH44" s="179"/>
      <c r="HI44" s="179"/>
      <c r="HJ44" s="179"/>
      <c r="HK44" s="179"/>
      <c r="HL44" s="179"/>
      <c r="HM44" s="179"/>
      <c r="HN44" s="179"/>
      <c r="HO44" s="179"/>
      <c r="HP44" s="179"/>
      <c r="HQ44" s="179"/>
      <c r="HR44" s="179"/>
      <c r="HS44" s="179"/>
      <c r="HT44" s="179"/>
      <c r="HU44" s="179"/>
      <c r="HV44" s="179"/>
      <c r="HW44" s="179"/>
      <c r="HX44" s="179"/>
      <c r="HY44" s="179"/>
      <c r="HZ44" s="179"/>
      <c r="IA44" s="179"/>
      <c r="IB44" s="179"/>
      <c r="IC44" s="179"/>
      <c r="ID44" s="179"/>
      <c r="IE44" s="179"/>
      <c r="IF44" s="179"/>
      <c r="IG44" s="179"/>
      <c r="IH44" s="179"/>
      <c r="II44" s="179"/>
      <c r="IJ44" s="179"/>
      <c r="IK44" s="179"/>
      <c r="IL44" s="179"/>
      <c r="IM44" s="179"/>
      <c r="IN44" s="179"/>
      <c r="IO44" s="179"/>
      <c r="IP44" s="179"/>
    </row>
    <row r="45" spans="1:250">
      <c r="A45" s="218" t="s">
        <v>1653</v>
      </c>
      <c r="B45" s="194">
        <f>2.5*1800*1.302*1.19</f>
        <v>6972.21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79"/>
      <c r="HL45" s="179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179"/>
      <c r="IA45" s="179"/>
      <c r="IB45" s="179"/>
      <c r="IC45" s="179"/>
      <c r="ID45" s="179"/>
      <c r="IE45" s="179"/>
      <c r="IF45" s="179"/>
      <c r="IG45" s="179"/>
      <c r="IH45" s="179"/>
      <c r="II45" s="179"/>
      <c r="IJ45" s="179"/>
      <c r="IK45" s="179"/>
      <c r="IL45" s="179"/>
      <c r="IM45" s="179"/>
      <c r="IN45" s="179"/>
      <c r="IO45" s="179"/>
      <c r="IP45" s="179"/>
    </row>
    <row r="46" spans="1:250">
      <c r="A46" s="218" t="s">
        <v>611</v>
      </c>
      <c r="B46" s="194">
        <f>0.01*9100*12*1.302*1.19</f>
        <v>1691.9229600000001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  <c r="GU46" s="179"/>
      <c r="GV46" s="179"/>
      <c r="GW46" s="179"/>
      <c r="GX46" s="179"/>
      <c r="GY46" s="179"/>
      <c r="GZ46" s="179"/>
      <c r="HA46" s="179"/>
      <c r="HB46" s="179"/>
      <c r="HC46" s="179"/>
      <c r="HD46" s="179"/>
      <c r="HE46" s="179"/>
      <c r="HF46" s="179"/>
      <c r="HG46" s="179"/>
      <c r="HH46" s="179"/>
      <c r="HI46" s="179"/>
      <c r="HJ46" s="179"/>
      <c r="HK46" s="179"/>
      <c r="HL46" s="179"/>
      <c r="HM46" s="179"/>
      <c r="HN46" s="179"/>
      <c r="HO46" s="179"/>
      <c r="HP46" s="179"/>
      <c r="HQ46" s="179"/>
      <c r="HR46" s="179"/>
      <c r="HS46" s="179"/>
      <c r="HT46" s="179"/>
      <c r="HU46" s="179"/>
      <c r="HV46" s="179"/>
      <c r="HW46" s="179"/>
      <c r="HX46" s="179"/>
      <c r="HY46" s="179"/>
      <c r="HZ46" s="179"/>
      <c r="IA46" s="179"/>
      <c r="IB46" s="179"/>
      <c r="IC46" s="179"/>
      <c r="ID46" s="179"/>
      <c r="IE46" s="179"/>
      <c r="IF46" s="179"/>
      <c r="IG46" s="179"/>
      <c r="IH46" s="179"/>
      <c r="II46" s="179"/>
      <c r="IJ46" s="179"/>
      <c r="IK46" s="179"/>
      <c r="IL46" s="179"/>
      <c r="IM46" s="179"/>
      <c r="IN46" s="179"/>
      <c r="IO46" s="179"/>
      <c r="IP46" s="179"/>
    </row>
    <row r="47" spans="1:250">
      <c r="A47" s="218" t="s">
        <v>602</v>
      </c>
      <c r="B47" s="194">
        <f>B22</f>
        <v>113.5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179"/>
      <c r="IM47" s="179"/>
      <c r="IN47" s="179"/>
      <c r="IO47" s="179"/>
      <c r="IP47" s="179"/>
    </row>
    <row r="48" spans="1:250">
      <c r="A48" s="218" t="s">
        <v>603</v>
      </c>
      <c r="B48" s="194">
        <f>B47*110*1.302*2</f>
        <v>32510.940000000002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  <c r="GV48" s="179"/>
      <c r="GW48" s="179"/>
      <c r="GX48" s="179"/>
      <c r="GY48" s="179"/>
      <c r="GZ48" s="179"/>
      <c r="HA48" s="179"/>
      <c r="HB48" s="179"/>
      <c r="HC48" s="179"/>
      <c r="HD48" s="179"/>
      <c r="HE48" s="179"/>
      <c r="HF48" s="179"/>
      <c r="HG48" s="179"/>
      <c r="HH48" s="179"/>
      <c r="HI48" s="179"/>
      <c r="HJ48" s="179"/>
      <c r="HK48" s="179"/>
      <c r="HL48" s="179"/>
      <c r="HM48" s="179"/>
      <c r="HN48" s="179"/>
      <c r="HO48" s="179"/>
      <c r="HP48" s="179"/>
      <c r="HQ48" s="179"/>
      <c r="HR48" s="179"/>
      <c r="HS48" s="179"/>
      <c r="HT48" s="179"/>
      <c r="HU48" s="179"/>
      <c r="HV48" s="179"/>
      <c r="HW48" s="179"/>
      <c r="HX48" s="179"/>
      <c r="HY48" s="179"/>
      <c r="HZ48" s="179"/>
      <c r="IA48" s="179"/>
      <c r="IB48" s="179"/>
      <c r="IC48" s="179"/>
      <c r="ID48" s="179"/>
      <c r="IE48" s="179"/>
      <c r="IF48" s="179"/>
      <c r="IG48" s="179"/>
      <c r="IH48" s="179"/>
      <c r="II48" s="179"/>
      <c r="IJ48" s="179"/>
      <c r="IK48" s="179"/>
      <c r="IL48" s="179"/>
      <c r="IM48" s="179"/>
      <c r="IN48" s="179"/>
      <c r="IO48" s="179"/>
      <c r="IP48" s="179"/>
    </row>
    <row r="49" spans="1:250">
      <c r="A49" s="218" t="s">
        <v>1127</v>
      </c>
      <c r="B49" s="194">
        <f>325.5*1.19</f>
        <v>387.34499999999997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  <c r="IP49" s="179"/>
    </row>
    <row r="50" spans="1:250">
      <c r="A50" s="218" t="s">
        <v>1128</v>
      </c>
      <c r="B50" s="194">
        <v>0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  <c r="GV50" s="179"/>
      <c r="GW50" s="179"/>
      <c r="GX50" s="179"/>
      <c r="GY50" s="179"/>
      <c r="GZ50" s="179"/>
      <c r="HA50" s="179"/>
      <c r="HB50" s="179"/>
      <c r="HC50" s="179"/>
      <c r="HD50" s="179"/>
      <c r="HE50" s="179"/>
      <c r="HF50" s="179"/>
      <c r="HG50" s="179"/>
      <c r="HH50" s="179"/>
      <c r="HI50" s="179"/>
      <c r="HJ50" s="179"/>
      <c r="HK50" s="179"/>
      <c r="HL50" s="179"/>
      <c r="HM50" s="179"/>
      <c r="HN50" s="179"/>
      <c r="HO50" s="179"/>
      <c r="HP50" s="179"/>
      <c r="HQ50" s="179"/>
      <c r="HR50" s="179"/>
      <c r="HS50" s="179"/>
      <c r="HT50" s="179"/>
      <c r="HU50" s="179"/>
      <c r="HV50" s="179"/>
      <c r="HW50" s="179"/>
      <c r="HX50" s="179"/>
      <c r="HY50" s="179"/>
      <c r="HZ50" s="179"/>
      <c r="IA50" s="179"/>
      <c r="IB50" s="179"/>
      <c r="IC50" s="179"/>
      <c r="ID50" s="179"/>
      <c r="IE50" s="179"/>
      <c r="IF50" s="179"/>
      <c r="IG50" s="179"/>
      <c r="IH50" s="179"/>
      <c r="II50" s="179"/>
      <c r="IJ50" s="179"/>
      <c r="IK50" s="179"/>
      <c r="IL50" s="179"/>
      <c r="IM50" s="179"/>
      <c r="IN50" s="179"/>
      <c r="IO50" s="179"/>
      <c r="IP50" s="179"/>
    </row>
    <row r="51" spans="1:250">
      <c r="A51" s="218" t="s">
        <v>724</v>
      </c>
      <c r="B51" s="194">
        <f>5182.86*1.19</f>
        <v>6167.6033999999991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  <c r="GV51" s="179"/>
      <c r="GW51" s="179"/>
      <c r="GX51" s="179"/>
      <c r="GY51" s="179"/>
      <c r="GZ51" s="179"/>
      <c r="HA51" s="179"/>
      <c r="HB51" s="179"/>
      <c r="HC51" s="179"/>
      <c r="HD51" s="179"/>
      <c r="HE51" s="179"/>
      <c r="HF51" s="179"/>
      <c r="HG51" s="179"/>
      <c r="HH51" s="179"/>
      <c r="HI51" s="179"/>
      <c r="HJ51" s="179"/>
      <c r="HK51" s="179"/>
      <c r="HL51" s="179"/>
      <c r="HM51" s="179"/>
      <c r="HN51" s="179"/>
      <c r="HO51" s="179"/>
      <c r="HP51" s="179"/>
      <c r="HQ51" s="179"/>
      <c r="HR51" s="179"/>
      <c r="HS51" s="179"/>
      <c r="HT51" s="179"/>
      <c r="HU51" s="179"/>
      <c r="HV51" s="179"/>
      <c r="HW51" s="179"/>
      <c r="HX51" s="179"/>
      <c r="HY51" s="179"/>
      <c r="HZ51" s="179"/>
      <c r="IA51" s="179"/>
      <c r="IB51" s="179"/>
      <c r="IC51" s="179"/>
      <c r="ID51" s="179"/>
      <c r="IE51" s="179"/>
      <c r="IF51" s="179"/>
      <c r="IG51" s="179"/>
      <c r="IH51" s="179"/>
      <c r="II51" s="179"/>
      <c r="IJ51" s="179"/>
      <c r="IK51" s="179"/>
      <c r="IL51" s="179"/>
      <c r="IM51" s="179"/>
      <c r="IN51" s="179"/>
      <c r="IO51" s="179"/>
      <c r="IP51" s="179"/>
    </row>
    <row r="52" spans="1:250">
      <c r="A52" s="218" t="s">
        <v>1638</v>
      </c>
      <c r="B52" s="194">
        <v>17194.599999999999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  <c r="GU52" s="179"/>
      <c r="GV52" s="179"/>
      <c r="GW52" s="179"/>
      <c r="GX52" s="179"/>
      <c r="GY52" s="179"/>
      <c r="GZ52" s="179"/>
      <c r="HA52" s="179"/>
      <c r="HB52" s="179"/>
      <c r="HC52" s="179"/>
      <c r="HD52" s="179"/>
      <c r="HE52" s="179"/>
      <c r="HF52" s="179"/>
      <c r="HG52" s="179"/>
      <c r="HH52" s="179"/>
      <c r="HI52" s="179"/>
      <c r="HJ52" s="179"/>
      <c r="HK52" s="179"/>
      <c r="HL52" s="179"/>
      <c r="HM52" s="179"/>
      <c r="HN52" s="179"/>
      <c r="HO52" s="179"/>
      <c r="HP52" s="179"/>
      <c r="HQ52" s="179"/>
      <c r="HR52" s="179"/>
      <c r="HS52" s="179"/>
      <c r="HT52" s="179"/>
      <c r="HU52" s="179"/>
      <c r="HV52" s="179"/>
      <c r="HW52" s="179"/>
      <c r="HX52" s="179"/>
      <c r="HY52" s="179"/>
      <c r="HZ52" s="179"/>
      <c r="IA52" s="179"/>
      <c r="IB52" s="179"/>
      <c r="IC52" s="179"/>
      <c r="ID52" s="179"/>
      <c r="IE52" s="179"/>
      <c r="IF52" s="179"/>
      <c r="IG52" s="179"/>
      <c r="IH52" s="179"/>
      <c r="II52" s="179"/>
      <c r="IJ52" s="179"/>
      <c r="IK52" s="179"/>
      <c r="IL52" s="179"/>
      <c r="IM52" s="179"/>
      <c r="IN52" s="179"/>
      <c r="IO52" s="179"/>
      <c r="IP52" s="179"/>
    </row>
    <row r="53" spans="1:250">
      <c r="A53" s="218" t="s">
        <v>1658</v>
      </c>
      <c r="B53" s="194">
        <f>B37-B39-B52</f>
        <v>-25578.102874742071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  <c r="HW53" s="179"/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  <c r="IO53" s="179"/>
      <c r="IP53" s="179"/>
    </row>
    <row r="54" spans="1:250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179"/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  <c r="IO54" s="179"/>
      <c r="IP54" s="179"/>
    </row>
    <row r="55" spans="1:250">
      <c r="A55" s="448" t="s">
        <v>605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179"/>
      <c r="HX55" s="179"/>
      <c r="HY55" s="179"/>
      <c r="HZ55" s="179"/>
      <c r="IA55" s="179"/>
      <c r="IB55" s="179"/>
      <c r="IC55" s="179"/>
      <c r="ID55" s="179"/>
      <c r="IE55" s="179"/>
      <c r="IF55" s="179"/>
      <c r="IG55" s="179"/>
      <c r="IH55" s="179"/>
      <c r="II55" s="179"/>
      <c r="IJ55" s="179"/>
      <c r="IK55" s="179"/>
      <c r="IL55" s="179"/>
      <c r="IM55" s="179"/>
      <c r="IN55" s="179"/>
      <c r="IO55" s="179"/>
      <c r="IP55" s="179"/>
    </row>
    <row r="57" spans="1:250">
      <c r="A57" s="321" t="s">
        <v>519</v>
      </c>
      <c r="B57">
        <f>5*B29*12</f>
        <v>12528</v>
      </c>
    </row>
    <row r="58" spans="1:250">
      <c r="B58" s="276">
        <f>B57+B39</f>
        <v>62729.362874742073</v>
      </c>
    </row>
    <row r="59" spans="1:250">
      <c r="B59">
        <f>B58/B39</f>
        <v>1.2495549778450983</v>
      </c>
    </row>
  </sheetData>
  <mergeCells count="6">
    <mergeCell ref="A26:B26"/>
    <mergeCell ref="A1:B1"/>
    <mergeCell ref="A2:B2"/>
    <mergeCell ref="A3:B3"/>
    <mergeCell ref="A24:B24"/>
    <mergeCell ref="A25:B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7"/>
  <sheetViews>
    <sheetView topLeftCell="A20" workbookViewId="0">
      <selection activeCell="A25" sqref="A25:B51"/>
    </sheetView>
  </sheetViews>
  <sheetFormatPr defaultRowHeight="15"/>
  <cols>
    <col min="1" max="1" width="81.5703125" customWidth="1"/>
    <col min="2" max="2" width="13.5703125" customWidth="1"/>
  </cols>
  <sheetData>
    <row r="1" spans="1:2" ht="15.75">
      <c r="A1" s="701" t="s">
        <v>364</v>
      </c>
      <c r="B1" s="701"/>
    </row>
    <row r="2" spans="1:2" ht="15.75">
      <c r="A2" s="702" t="s">
        <v>1578</v>
      </c>
      <c r="B2" s="702"/>
    </row>
    <row r="3" spans="1:2" s="55" customFormat="1" ht="15.75">
      <c r="A3" s="702" t="s">
        <v>1635</v>
      </c>
      <c r="B3" s="702"/>
    </row>
    <row r="4" spans="1:2" s="55" customFormat="1" ht="15.75">
      <c r="A4" s="150"/>
      <c r="B4" s="86"/>
    </row>
    <row r="5" spans="1:2" ht="15.75" thickBot="1">
      <c r="A5" s="474" t="s">
        <v>229</v>
      </c>
      <c r="B5" s="82" t="s">
        <v>610</v>
      </c>
    </row>
    <row r="6" spans="1:2" ht="15.75" thickBot="1">
      <c r="A6" s="449" t="s">
        <v>29</v>
      </c>
      <c r="B6" s="72"/>
    </row>
    <row r="7" spans="1:2" ht="15.75" thickBot="1">
      <c r="A7" s="450" t="s">
        <v>586</v>
      </c>
      <c r="B7" s="72"/>
    </row>
    <row r="8" spans="1:2">
      <c r="A8" s="454" t="s">
        <v>57</v>
      </c>
      <c r="B8" s="72"/>
    </row>
    <row r="9" spans="1:2" s="90" customFormat="1" ht="28.5">
      <c r="A9" s="475" t="s">
        <v>1641</v>
      </c>
      <c r="B9" s="72">
        <f>3*4</f>
        <v>12</v>
      </c>
    </row>
    <row r="10" spans="1:2" s="73" customFormat="1" ht="28.5">
      <c r="A10" s="476" t="s">
        <v>1640</v>
      </c>
      <c r="B10" s="72">
        <f>3*2</f>
        <v>6</v>
      </c>
    </row>
    <row r="11" spans="1:2" s="73" customFormat="1">
      <c r="A11" s="476" t="s">
        <v>1642</v>
      </c>
      <c r="B11" s="72">
        <v>2</v>
      </c>
    </row>
    <row r="12" spans="1:2" s="73" customFormat="1">
      <c r="A12" s="476" t="s">
        <v>1649</v>
      </c>
      <c r="B12" s="72">
        <f>3*3</f>
        <v>9</v>
      </c>
    </row>
    <row r="13" spans="1:2" s="73" customFormat="1">
      <c r="A13" s="72" t="s">
        <v>1644</v>
      </c>
      <c r="B13" s="72">
        <f>2*1.5</f>
        <v>3</v>
      </c>
    </row>
    <row r="14" spans="1:2">
      <c r="A14" s="452" t="s">
        <v>66</v>
      </c>
      <c r="B14" s="72"/>
    </row>
    <row r="15" spans="1:2">
      <c r="A15" s="477" t="s">
        <v>90</v>
      </c>
      <c r="B15" s="72"/>
    </row>
    <row r="16" spans="1:2" s="73" customFormat="1">
      <c r="A16" s="157" t="s">
        <v>1643</v>
      </c>
      <c r="B16" s="123">
        <v>1</v>
      </c>
    </row>
    <row r="17" spans="1:249" s="73" customFormat="1">
      <c r="A17" s="400" t="s">
        <v>1646</v>
      </c>
      <c r="B17" s="72">
        <v>16</v>
      </c>
    </row>
    <row r="18" spans="1:249" ht="15.75" customHeight="1">
      <c r="A18" s="379" t="s">
        <v>102</v>
      </c>
      <c r="B18" s="129"/>
    </row>
    <row r="19" spans="1:249" s="73" customFormat="1">
      <c r="A19" s="400" t="s">
        <v>1639</v>
      </c>
      <c r="B19" s="72">
        <f>3*1.5</f>
        <v>4.5</v>
      </c>
    </row>
    <row r="20" spans="1:249" s="73" customFormat="1">
      <c r="A20" s="400" t="s">
        <v>1645</v>
      </c>
      <c r="B20" s="72">
        <v>1</v>
      </c>
    </row>
    <row r="21" spans="1:249" s="73" customFormat="1" ht="21" customHeight="1">
      <c r="A21" s="400" t="s">
        <v>1647</v>
      </c>
      <c r="B21" s="72">
        <v>1</v>
      </c>
    </row>
    <row r="22" spans="1:249" s="73" customFormat="1" ht="15.75" thickBot="1">
      <c r="A22" s="400" t="s">
        <v>1648</v>
      </c>
      <c r="B22" s="72">
        <v>1</v>
      </c>
    </row>
    <row r="23" spans="1:249" ht="15.75" thickBot="1">
      <c r="A23" s="455" t="s">
        <v>587</v>
      </c>
      <c r="B23" s="72">
        <f>SUM(B10:B22)</f>
        <v>44.5</v>
      </c>
    </row>
    <row r="24" spans="1:249">
      <c r="A24" s="78"/>
      <c r="B24" s="75"/>
    </row>
    <row r="25" spans="1:249" s="179" customFormat="1" ht="43.5" customHeight="1">
      <c r="A25" s="447" t="s">
        <v>1634</v>
      </c>
      <c r="IO25"/>
    </row>
    <row r="26" spans="1:249">
      <c r="A26" s="180" t="s">
        <v>593</v>
      </c>
      <c r="B26" s="196">
        <v>222.4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</row>
    <row r="27" spans="1:249">
      <c r="A27" s="180" t="s">
        <v>594</v>
      </c>
      <c r="B27" s="196">
        <v>30.24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79"/>
      <c r="HI27" s="179"/>
      <c r="HJ27" s="179"/>
      <c r="HK27" s="179"/>
      <c r="HL27" s="179"/>
      <c r="HM27" s="179"/>
      <c r="HN27" s="179"/>
      <c r="HO27" s="179"/>
      <c r="HP27" s="179"/>
      <c r="HQ27" s="179"/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79"/>
      <c r="ID27" s="179"/>
      <c r="IE27" s="179"/>
      <c r="IF27" s="179"/>
      <c r="IG27" s="179"/>
      <c r="IH27" s="179"/>
      <c r="II27" s="179"/>
      <c r="IJ27" s="179"/>
      <c r="IK27" s="179"/>
      <c r="IL27" s="179"/>
      <c r="IM27" s="179"/>
      <c r="IN27" s="179"/>
    </row>
    <row r="28" spans="1:249" s="73" customFormat="1">
      <c r="A28" s="193" t="s">
        <v>711</v>
      </c>
      <c r="B28" s="193">
        <v>4719.59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0"/>
      <c r="EM28" s="230"/>
      <c r="EN28" s="230"/>
      <c r="EO28" s="230"/>
      <c r="EP28" s="230"/>
      <c r="EQ28" s="230"/>
      <c r="ER28" s="230"/>
      <c r="ES28" s="230"/>
      <c r="ET28" s="230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0"/>
      <c r="FF28" s="230"/>
      <c r="FG28" s="230"/>
      <c r="FH28" s="230"/>
      <c r="FI28" s="230"/>
      <c r="FJ28" s="230"/>
      <c r="FK28" s="230"/>
      <c r="FL28" s="230"/>
      <c r="FM28" s="230"/>
      <c r="FN28" s="230"/>
      <c r="FO28" s="230"/>
      <c r="FP28" s="230"/>
      <c r="FQ28" s="230"/>
      <c r="FR28" s="230"/>
      <c r="FS28" s="230"/>
      <c r="FT28" s="230"/>
      <c r="FU28" s="230"/>
      <c r="FV28" s="230"/>
      <c r="FW28" s="230"/>
      <c r="FX28" s="230"/>
      <c r="FY28" s="230"/>
      <c r="FZ28" s="230"/>
      <c r="GA28" s="230"/>
      <c r="GB28" s="230"/>
      <c r="GC28" s="230"/>
      <c r="GD28" s="230"/>
      <c r="GE28" s="230"/>
      <c r="GF28" s="230"/>
      <c r="GG28" s="230"/>
      <c r="GH28" s="230"/>
      <c r="GI28" s="230"/>
      <c r="GJ28" s="230"/>
      <c r="GK28" s="230"/>
      <c r="GL28" s="230"/>
      <c r="GM28" s="230"/>
      <c r="GN28" s="230"/>
      <c r="GO28" s="230"/>
      <c r="GP28" s="230"/>
      <c r="GQ28" s="230"/>
      <c r="GR28" s="230"/>
      <c r="GS28" s="230"/>
      <c r="GT28" s="230"/>
      <c r="GU28" s="230"/>
      <c r="GV28" s="230"/>
      <c r="GW28" s="230"/>
      <c r="GX28" s="230"/>
      <c r="GY28" s="230"/>
      <c r="GZ28" s="230"/>
      <c r="HA28" s="230"/>
      <c r="HB28" s="230"/>
      <c r="HC28" s="230"/>
      <c r="HD28" s="230"/>
      <c r="HE28" s="230"/>
      <c r="HF28" s="230"/>
      <c r="HG28" s="230"/>
      <c r="HH28" s="230"/>
      <c r="HI28" s="230"/>
      <c r="HJ28" s="230"/>
      <c r="HK28" s="230"/>
      <c r="HL28" s="230"/>
      <c r="HM28" s="230"/>
      <c r="HN28" s="230"/>
      <c r="HO28" s="230"/>
      <c r="HP28" s="230"/>
      <c r="HQ28" s="230"/>
      <c r="HR28" s="230"/>
      <c r="HS28" s="230"/>
      <c r="HT28" s="230"/>
      <c r="HU28" s="230"/>
      <c r="HV28" s="230"/>
      <c r="HW28" s="230"/>
      <c r="HX28" s="230"/>
      <c r="HY28" s="230"/>
      <c r="HZ28" s="230"/>
      <c r="IA28" s="230"/>
      <c r="IB28" s="230"/>
      <c r="IC28" s="230"/>
      <c r="ID28" s="230"/>
      <c r="IE28" s="230"/>
      <c r="IF28" s="230"/>
      <c r="IG28" s="230"/>
      <c r="IH28" s="230"/>
      <c r="II28" s="230"/>
      <c r="IJ28" s="230"/>
      <c r="IK28" s="230"/>
      <c r="IL28" s="230"/>
      <c r="IM28" s="230"/>
      <c r="IN28" s="230"/>
    </row>
    <row r="29" spans="1:249" s="73" customFormat="1">
      <c r="A29" s="193" t="s">
        <v>1607</v>
      </c>
      <c r="B29" s="193">
        <v>80704.44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30"/>
      <c r="DV29" s="230"/>
      <c r="DW29" s="230"/>
      <c r="DX29" s="230"/>
      <c r="DY29" s="230"/>
      <c r="DZ29" s="230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0"/>
      <c r="ES29" s="230"/>
      <c r="ET29" s="230"/>
      <c r="EU29" s="230"/>
      <c r="EV29" s="230"/>
      <c r="EW29" s="230"/>
      <c r="EX29" s="230"/>
      <c r="EY29" s="230"/>
      <c r="EZ29" s="230"/>
      <c r="FA29" s="230"/>
      <c r="FB29" s="230"/>
      <c r="FC29" s="230"/>
      <c r="FD29" s="230"/>
      <c r="FE29" s="230"/>
      <c r="FF29" s="230"/>
      <c r="FG29" s="230"/>
      <c r="FH29" s="230"/>
      <c r="FI29" s="230"/>
      <c r="FJ29" s="230"/>
      <c r="FK29" s="230"/>
      <c r="FL29" s="230"/>
      <c r="FM29" s="230"/>
      <c r="FN29" s="230"/>
      <c r="FO29" s="230"/>
      <c r="FP29" s="230"/>
      <c r="FQ29" s="230"/>
      <c r="FR29" s="230"/>
      <c r="FS29" s="230"/>
      <c r="FT29" s="230"/>
      <c r="FU29" s="230"/>
      <c r="FV29" s="230"/>
      <c r="FW29" s="230"/>
      <c r="FX29" s="230"/>
      <c r="FY29" s="230"/>
      <c r="FZ29" s="230"/>
      <c r="GA29" s="230"/>
      <c r="GB29" s="230"/>
      <c r="GC29" s="230"/>
      <c r="GD29" s="230"/>
      <c r="GE29" s="230"/>
      <c r="GF29" s="230"/>
      <c r="GG29" s="230"/>
      <c r="GH29" s="230"/>
      <c r="GI29" s="230"/>
      <c r="GJ29" s="230"/>
      <c r="GK29" s="230"/>
      <c r="GL29" s="230"/>
      <c r="GM29" s="230"/>
      <c r="GN29" s="230"/>
      <c r="GO29" s="230"/>
      <c r="GP29" s="230"/>
      <c r="GQ29" s="230"/>
      <c r="GR29" s="230"/>
      <c r="GS29" s="230"/>
      <c r="GT29" s="230"/>
      <c r="GU29" s="230"/>
      <c r="GV29" s="230"/>
      <c r="GW29" s="230"/>
      <c r="GX29" s="230"/>
      <c r="GY29" s="230"/>
      <c r="GZ29" s="230"/>
      <c r="HA29" s="230"/>
      <c r="HB29" s="230"/>
      <c r="HC29" s="230"/>
      <c r="HD29" s="230"/>
      <c r="HE29" s="230"/>
      <c r="HF29" s="230"/>
      <c r="HG29" s="230"/>
      <c r="HH29" s="230"/>
      <c r="HI29" s="230"/>
      <c r="HJ29" s="230"/>
      <c r="HK29" s="230"/>
      <c r="HL29" s="230"/>
      <c r="HM29" s="230"/>
      <c r="HN29" s="230"/>
      <c r="HO29" s="230"/>
      <c r="HP29" s="230"/>
      <c r="HQ29" s="230"/>
      <c r="HR29" s="230"/>
      <c r="HS29" s="230"/>
      <c r="HT29" s="230"/>
      <c r="HU29" s="230"/>
      <c r="HV29" s="230"/>
      <c r="HW29" s="230"/>
      <c r="HX29" s="230"/>
      <c r="HY29" s="230"/>
      <c r="HZ29" s="230"/>
      <c r="IA29" s="230"/>
      <c r="IB29" s="230"/>
      <c r="IC29" s="230"/>
      <c r="ID29" s="230"/>
      <c r="IE29" s="230"/>
      <c r="IF29" s="230"/>
      <c r="IG29" s="230"/>
      <c r="IH29" s="230"/>
      <c r="II29" s="230"/>
      <c r="IJ29" s="230"/>
      <c r="IK29" s="230"/>
      <c r="IL29" s="230"/>
      <c r="IM29" s="230"/>
      <c r="IN29" s="230"/>
    </row>
    <row r="30" spans="1:249" s="73" customFormat="1">
      <c r="A30" s="193" t="s">
        <v>1625</v>
      </c>
      <c r="B30" s="193">
        <v>691.68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  <c r="ER30" s="230"/>
      <c r="ES30" s="230"/>
      <c r="ET30" s="230"/>
      <c r="EU30" s="230"/>
      <c r="EV30" s="230"/>
      <c r="EW30" s="230"/>
      <c r="EX30" s="230"/>
      <c r="EY30" s="230"/>
      <c r="EZ30" s="230"/>
      <c r="FA30" s="230"/>
      <c r="FB30" s="230"/>
      <c r="FC30" s="230"/>
      <c r="FD30" s="230"/>
      <c r="FE30" s="230"/>
      <c r="FF30" s="230"/>
      <c r="FG30" s="230"/>
      <c r="FH30" s="230"/>
      <c r="FI30" s="230"/>
      <c r="FJ30" s="230"/>
      <c r="FK30" s="230"/>
      <c r="FL30" s="230"/>
      <c r="FM30" s="230"/>
      <c r="FN30" s="230"/>
      <c r="FO30" s="230"/>
      <c r="FP30" s="230"/>
      <c r="FQ30" s="230"/>
      <c r="FR30" s="230"/>
      <c r="FS30" s="230"/>
      <c r="FT30" s="230"/>
      <c r="FU30" s="230"/>
      <c r="FV30" s="230"/>
      <c r="FW30" s="230"/>
      <c r="FX30" s="230"/>
      <c r="FY30" s="230"/>
      <c r="FZ30" s="230"/>
      <c r="GA30" s="230"/>
      <c r="GB30" s="230"/>
      <c r="GC30" s="230"/>
      <c r="GD30" s="230"/>
      <c r="GE30" s="230"/>
      <c r="GF30" s="230"/>
      <c r="GG30" s="230"/>
      <c r="GH30" s="230"/>
      <c r="GI30" s="230"/>
      <c r="GJ30" s="230"/>
      <c r="GK30" s="230"/>
      <c r="GL30" s="230"/>
      <c r="GM30" s="230"/>
      <c r="GN30" s="230"/>
      <c r="GO30" s="230"/>
      <c r="GP30" s="230"/>
      <c r="GQ30" s="230"/>
      <c r="GR30" s="230"/>
      <c r="GS30" s="230"/>
      <c r="GT30" s="230"/>
      <c r="GU30" s="230"/>
      <c r="GV30" s="230"/>
      <c r="GW30" s="230"/>
      <c r="GX30" s="230"/>
      <c r="GY30" s="230"/>
      <c r="GZ30" s="230"/>
      <c r="HA30" s="230"/>
      <c r="HB30" s="230"/>
      <c r="HC30" s="230"/>
      <c r="HD30" s="230"/>
      <c r="HE30" s="230"/>
      <c r="HF30" s="230"/>
      <c r="HG30" s="230"/>
      <c r="HH30" s="230"/>
      <c r="HI30" s="230"/>
      <c r="HJ30" s="230"/>
      <c r="HK30" s="230"/>
      <c r="HL30" s="230"/>
      <c r="HM30" s="230"/>
      <c r="HN30" s="230"/>
      <c r="HO30" s="230"/>
      <c r="HP30" s="230"/>
      <c r="HQ30" s="230"/>
      <c r="HR30" s="230"/>
      <c r="HS30" s="230"/>
      <c r="HT30" s="230"/>
      <c r="HU30" s="230"/>
      <c r="HV30" s="230"/>
      <c r="HW30" s="230"/>
      <c r="HX30" s="230"/>
      <c r="HY30" s="230"/>
      <c r="HZ30" s="230"/>
      <c r="IA30" s="230"/>
      <c r="IB30" s="230"/>
      <c r="IC30" s="230"/>
      <c r="ID30" s="230"/>
      <c r="IE30" s="230"/>
      <c r="IF30" s="230"/>
      <c r="IG30" s="230"/>
      <c r="IH30" s="230"/>
      <c r="II30" s="230"/>
      <c r="IJ30" s="230"/>
      <c r="IK30" s="230"/>
      <c r="IL30" s="230"/>
      <c r="IM30" s="230"/>
      <c r="IN30" s="230"/>
    </row>
    <row r="31" spans="1:249" s="73" customFormat="1">
      <c r="A31" s="193" t="s">
        <v>1619</v>
      </c>
      <c r="B31" s="193">
        <v>0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  <c r="IB31" s="230"/>
      <c r="IC31" s="230"/>
      <c r="ID31" s="230"/>
      <c r="IE31" s="230"/>
      <c r="IF31" s="230"/>
      <c r="IG31" s="230"/>
      <c r="IH31" s="230"/>
      <c r="II31" s="230"/>
      <c r="IJ31" s="230"/>
      <c r="IK31" s="230"/>
      <c r="IL31" s="230"/>
      <c r="IM31" s="230"/>
      <c r="IN31" s="230"/>
    </row>
    <row r="32" spans="1:249">
      <c r="A32" s="181" t="s">
        <v>1610</v>
      </c>
      <c r="B32" s="193">
        <f>B28+B29+B30-B33+B31</f>
        <v>84451.249999999985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</row>
    <row r="33" spans="1:248" s="73" customFormat="1">
      <c r="A33" s="193" t="s">
        <v>1609</v>
      </c>
      <c r="B33" s="193">
        <v>1664.46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  <c r="FH33" s="230"/>
      <c r="FI33" s="230"/>
      <c r="FJ33" s="230"/>
      <c r="FK33" s="230"/>
      <c r="FL33" s="230"/>
      <c r="FM33" s="230"/>
      <c r="FN33" s="230"/>
      <c r="FO33" s="230"/>
      <c r="FP33" s="230"/>
      <c r="FQ33" s="230"/>
      <c r="FR33" s="230"/>
      <c r="FS33" s="230"/>
      <c r="FT33" s="230"/>
      <c r="FU33" s="230"/>
      <c r="FV33" s="230"/>
      <c r="FW33" s="230"/>
      <c r="FX33" s="230"/>
      <c r="FY33" s="230"/>
      <c r="FZ33" s="230"/>
      <c r="GA33" s="230"/>
      <c r="GB33" s="230"/>
      <c r="GC33" s="230"/>
      <c r="GD33" s="230"/>
      <c r="GE33" s="230"/>
      <c r="GF33" s="230"/>
      <c r="GG33" s="230"/>
      <c r="GH33" s="230"/>
      <c r="GI33" s="230"/>
      <c r="GJ33" s="230"/>
      <c r="GK33" s="230"/>
      <c r="GL33" s="230"/>
      <c r="GM33" s="230"/>
      <c r="GN33" s="230"/>
      <c r="GO33" s="230"/>
      <c r="GP33" s="230"/>
      <c r="GQ33" s="230"/>
      <c r="GR33" s="230"/>
      <c r="GS33" s="230"/>
      <c r="GT33" s="230"/>
      <c r="GU33" s="230"/>
      <c r="GV33" s="230"/>
      <c r="GW33" s="230"/>
      <c r="GX33" s="230"/>
      <c r="GY33" s="230"/>
      <c r="GZ33" s="230"/>
      <c r="HA33" s="230"/>
      <c r="HB33" s="230"/>
      <c r="HC33" s="230"/>
      <c r="HD33" s="230"/>
      <c r="HE33" s="230"/>
      <c r="HF33" s="230"/>
      <c r="HG33" s="230"/>
      <c r="HH33" s="230"/>
      <c r="HI33" s="230"/>
      <c r="HJ33" s="230"/>
      <c r="HK33" s="230"/>
      <c r="HL33" s="230"/>
      <c r="HM33" s="230"/>
      <c r="HN33" s="230"/>
      <c r="HO33" s="230"/>
      <c r="HP33" s="230"/>
      <c r="HQ33" s="230"/>
      <c r="HR33" s="230"/>
      <c r="HS33" s="230"/>
      <c r="HT33" s="230"/>
      <c r="HU33" s="230"/>
      <c r="HV33" s="230"/>
      <c r="HW33" s="230"/>
      <c r="HX33" s="230"/>
      <c r="HY33" s="230"/>
      <c r="HZ33" s="230"/>
      <c r="IA33" s="230"/>
      <c r="IB33" s="230"/>
      <c r="IC33" s="230"/>
      <c r="ID33" s="230"/>
      <c r="IE33" s="230"/>
      <c r="IF33" s="230"/>
      <c r="IG33" s="230"/>
      <c r="IH33" s="230"/>
      <c r="II33" s="230"/>
      <c r="IJ33" s="230"/>
      <c r="IK33" s="230"/>
      <c r="IL33" s="230"/>
      <c r="IM33" s="230"/>
      <c r="IN33" s="230"/>
    </row>
    <row r="34" spans="1:248" s="73" customFormat="1" ht="22.5" customHeight="1">
      <c r="A34" s="234" t="s">
        <v>1604</v>
      </c>
      <c r="B34" s="196">
        <f>B32</f>
        <v>84451.249999999985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0"/>
      <c r="FF34" s="230"/>
      <c r="FG34" s="230"/>
      <c r="FH34" s="230"/>
      <c r="FI34" s="230"/>
      <c r="FJ34" s="230"/>
      <c r="FK34" s="230"/>
      <c r="FL34" s="230"/>
      <c r="FM34" s="230"/>
      <c r="FN34" s="230"/>
      <c r="FO34" s="230"/>
      <c r="FP34" s="230"/>
      <c r="FQ34" s="230"/>
      <c r="FR34" s="230"/>
      <c r="FS34" s="230"/>
      <c r="FT34" s="230"/>
      <c r="FU34" s="230"/>
      <c r="FV34" s="230"/>
      <c r="FW34" s="230"/>
      <c r="FX34" s="230"/>
      <c r="FY34" s="230"/>
      <c r="FZ34" s="230"/>
      <c r="GA34" s="230"/>
      <c r="GB34" s="230"/>
      <c r="GC34" s="230"/>
      <c r="GD34" s="230"/>
      <c r="GE34" s="230"/>
      <c r="GF34" s="230"/>
      <c r="GG34" s="230"/>
      <c r="GH34" s="230"/>
      <c r="GI34" s="230"/>
      <c r="GJ34" s="230"/>
      <c r="GK34" s="230"/>
      <c r="GL34" s="230"/>
      <c r="GM34" s="230"/>
      <c r="GN34" s="230"/>
      <c r="GO34" s="230"/>
      <c r="GP34" s="230"/>
      <c r="GQ34" s="230"/>
      <c r="GR34" s="230"/>
      <c r="GS34" s="230"/>
      <c r="GT34" s="230"/>
      <c r="GU34" s="230"/>
      <c r="GV34" s="230"/>
      <c r="GW34" s="230"/>
      <c r="GX34" s="230"/>
      <c r="GY34" s="230"/>
      <c r="GZ34" s="230"/>
      <c r="HA34" s="230"/>
      <c r="HB34" s="230"/>
      <c r="HC34" s="230"/>
      <c r="HD34" s="230"/>
      <c r="HE34" s="230"/>
      <c r="HF34" s="230"/>
      <c r="HG34" s="230"/>
      <c r="HH34" s="230"/>
      <c r="HI34" s="230"/>
      <c r="HJ34" s="230"/>
      <c r="HK34" s="230"/>
      <c r="HL34" s="230"/>
      <c r="HM34" s="230"/>
      <c r="HN34" s="230"/>
      <c r="HO34" s="230"/>
      <c r="HP34" s="230"/>
      <c r="HQ34" s="230"/>
      <c r="HR34" s="230"/>
      <c r="HS34" s="230"/>
      <c r="HT34" s="230"/>
      <c r="HU34" s="230"/>
      <c r="HV34" s="230"/>
      <c r="HW34" s="230"/>
      <c r="HX34" s="230"/>
      <c r="HY34" s="230"/>
      <c r="HZ34" s="230"/>
      <c r="IA34" s="230"/>
      <c r="IB34" s="230"/>
      <c r="IC34" s="230"/>
      <c r="ID34" s="230"/>
      <c r="IE34" s="230"/>
      <c r="IF34" s="230"/>
      <c r="IG34" s="230"/>
      <c r="IH34" s="230"/>
      <c r="II34" s="230"/>
      <c r="IJ34" s="230"/>
      <c r="IK34" s="230"/>
      <c r="IL34" s="230"/>
      <c r="IM34" s="230"/>
      <c r="IN34" s="230"/>
    </row>
    <row r="35" spans="1:248">
      <c r="A35" s="179"/>
      <c r="B35" s="197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  <c r="IM35" s="179"/>
      <c r="IN35" s="179"/>
    </row>
    <row r="36" spans="1:248">
      <c r="A36" s="196" t="s">
        <v>1606</v>
      </c>
      <c r="B36" s="198">
        <f>B38+B41+B43+B44+B46+B48+B49+B39+B47+B42+B40</f>
        <v>80832.687512058517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79"/>
      <c r="GN36" s="179"/>
      <c r="GO36" s="179"/>
      <c r="GP36" s="179"/>
      <c r="GQ36" s="179"/>
      <c r="GR36" s="179"/>
      <c r="GS36" s="179"/>
      <c r="GT36" s="179"/>
      <c r="GU36" s="179"/>
      <c r="GV36" s="179"/>
      <c r="GW36" s="179"/>
      <c r="GX36" s="179"/>
      <c r="GY36" s="179"/>
      <c r="GZ36" s="179"/>
      <c r="HA36" s="179"/>
      <c r="HB36" s="179"/>
      <c r="HC36" s="179"/>
      <c r="HD36" s="179"/>
      <c r="HE36" s="179"/>
      <c r="HF36" s="179"/>
      <c r="HG36" s="179"/>
      <c r="HH36" s="179"/>
      <c r="HI36" s="179"/>
      <c r="HJ36" s="179"/>
      <c r="HK36" s="179"/>
      <c r="HL36" s="179"/>
      <c r="HM36" s="179"/>
      <c r="HN36" s="179"/>
      <c r="HO36" s="179"/>
      <c r="HP36" s="179"/>
      <c r="HQ36" s="179"/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  <c r="II36" s="179"/>
      <c r="IJ36" s="179"/>
      <c r="IK36" s="179"/>
      <c r="IL36" s="179"/>
      <c r="IM36" s="179"/>
      <c r="IN36" s="179"/>
    </row>
    <row r="37" spans="1:248">
      <c r="A37" s="193" t="s">
        <v>599</v>
      </c>
      <c r="B37" s="193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79"/>
      <c r="GN37" s="179"/>
      <c r="GO37" s="179"/>
      <c r="GP37" s="179"/>
      <c r="GQ37" s="179"/>
      <c r="GR37" s="179"/>
      <c r="GS37" s="179"/>
      <c r="GT37" s="179"/>
      <c r="GU37" s="179"/>
      <c r="GV37" s="179"/>
      <c r="GW37" s="179"/>
      <c r="GX37" s="179"/>
      <c r="GY37" s="179"/>
      <c r="GZ37" s="179"/>
      <c r="HA37" s="179"/>
      <c r="HB37" s="179"/>
      <c r="HC37" s="179"/>
      <c r="HD37" s="179"/>
      <c r="HE37" s="179"/>
      <c r="HF37" s="179"/>
      <c r="HG37" s="179"/>
      <c r="HH37" s="179"/>
      <c r="HI37" s="179"/>
      <c r="HJ37" s="179"/>
      <c r="HK37" s="179"/>
      <c r="HL37" s="179"/>
      <c r="HM37" s="179"/>
      <c r="HN37" s="179"/>
      <c r="HO37" s="179"/>
      <c r="HP37" s="179"/>
      <c r="HQ37" s="179"/>
      <c r="HR37" s="179"/>
      <c r="HS37" s="179"/>
      <c r="HT37" s="179"/>
      <c r="HU37" s="179"/>
      <c r="HV37" s="179"/>
      <c r="HW37" s="179"/>
      <c r="HX37" s="179"/>
      <c r="HY37" s="179"/>
      <c r="HZ37" s="179"/>
      <c r="IA37" s="179"/>
      <c r="IB37" s="179"/>
      <c r="IC37" s="179"/>
      <c r="ID37" s="179"/>
      <c r="IE37" s="179"/>
      <c r="IF37" s="179"/>
      <c r="IG37" s="179"/>
      <c r="IH37" s="179"/>
      <c r="II37" s="179"/>
      <c r="IJ37" s="179"/>
      <c r="IK37" s="179"/>
      <c r="IL37" s="179"/>
      <c r="IM37" s="179"/>
      <c r="IN37" s="179"/>
    </row>
    <row r="38" spans="1:248" s="73" customFormat="1">
      <c r="A38" s="193" t="s">
        <v>521</v>
      </c>
      <c r="B38" s="194">
        <f>959300/45797.5*B26*1.3</f>
        <v>6056.0689120585184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  <c r="HV38" s="230"/>
      <c r="HW38" s="230"/>
      <c r="HX38" s="230"/>
      <c r="HY38" s="230"/>
      <c r="HZ38" s="230"/>
      <c r="IA38" s="230"/>
      <c r="IB38" s="230"/>
      <c r="IC38" s="230"/>
      <c r="ID38" s="230"/>
      <c r="IE38" s="230"/>
      <c r="IF38" s="230"/>
      <c r="IG38" s="230"/>
      <c r="IH38" s="230"/>
      <c r="II38" s="230"/>
      <c r="IJ38" s="230"/>
      <c r="IK38" s="230"/>
      <c r="IL38" s="230"/>
      <c r="IM38" s="230"/>
      <c r="IN38" s="230"/>
    </row>
    <row r="39" spans="1:248" s="73" customFormat="1">
      <c r="A39" s="193" t="s">
        <v>1570</v>
      </c>
      <c r="B39" s="194">
        <f>30080*1.3</f>
        <v>39104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  <c r="HV39" s="230"/>
      <c r="HW39" s="230"/>
      <c r="HX39" s="230"/>
      <c r="HY39" s="230"/>
      <c r="HZ39" s="230"/>
      <c r="IA39" s="230"/>
      <c r="IB39" s="230"/>
      <c r="IC39" s="230"/>
      <c r="ID39" s="230"/>
      <c r="IE39" s="230"/>
      <c r="IF39" s="230"/>
      <c r="IG39" s="230"/>
      <c r="IH39" s="230"/>
      <c r="II39" s="230"/>
      <c r="IJ39" s="230"/>
      <c r="IK39" s="230"/>
      <c r="IL39" s="230"/>
      <c r="IM39" s="230"/>
      <c r="IN39" s="230"/>
    </row>
    <row r="40" spans="1:248" s="73" customFormat="1">
      <c r="A40" s="193" t="s">
        <v>987</v>
      </c>
      <c r="B40" s="194">
        <f>0.31*B26*12*1.3</f>
        <v>1075.5264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0"/>
      <c r="GN40" s="230"/>
      <c r="GO40" s="230"/>
      <c r="GP40" s="230"/>
      <c r="GQ40" s="230"/>
      <c r="GR40" s="230"/>
      <c r="GS40" s="230"/>
      <c r="GT40" s="230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</row>
    <row r="41" spans="1:248" s="73" customFormat="1">
      <c r="A41" s="193" t="s">
        <v>520</v>
      </c>
      <c r="B41" s="194">
        <f>0.89*12*B26*1.3</f>
        <v>3087.8016000000002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</row>
    <row r="42" spans="1:248" s="73" customFormat="1">
      <c r="A42" s="193" t="s">
        <v>1636</v>
      </c>
      <c r="B42" s="194">
        <f>1800*3*1.3*1.3</f>
        <v>9126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0"/>
      <c r="GN42" s="230"/>
      <c r="GO42" s="230"/>
      <c r="GP42" s="230"/>
      <c r="GQ42" s="230"/>
      <c r="GR42" s="230"/>
      <c r="GS42" s="230"/>
      <c r="GT42" s="230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0"/>
      <c r="IB42" s="230"/>
      <c r="IC42" s="230"/>
      <c r="ID42" s="230"/>
      <c r="IE42" s="230"/>
      <c r="IF42" s="230"/>
      <c r="IG42" s="230"/>
      <c r="IH42" s="230"/>
      <c r="II42" s="230"/>
      <c r="IJ42" s="230"/>
      <c r="IK42" s="230"/>
      <c r="IL42" s="230"/>
      <c r="IM42" s="230"/>
      <c r="IN42" s="230"/>
    </row>
    <row r="43" spans="1:248">
      <c r="A43" s="193" t="s">
        <v>600</v>
      </c>
      <c r="B43" s="194">
        <f>100*11</f>
        <v>1100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  <c r="GV43" s="179"/>
      <c r="GW43" s="179"/>
      <c r="GX43" s="179"/>
      <c r="GY43" s="179"/>
      <c r="GZ43" s="179"/>
      <c r="HA43" s="179"/>
      <c r="HB43" s="179"/>
      <c r="HC43" s="179"/>
      <c r="HD43" s="179"/>
      <c r="HE43" s="179"/>
      <c r="HF43" s="179"/>
      <c r="HG43" s="179"/>
      <c r="HH43" s="179"/>
      <c r="HI43" s="179"/>
      <c r="HJ43" s="179"/>
      <c r="HK43" s="179"/>
      <c r="HL43" s="179"/>
      <c r="HM43" s="179"/>
      <c r="HN43" s="179"/>
      <c r="HO43" s="179"/>
      <c r="HP43" s="179"/>
      <c r="HQ43" s="179"/>
      <c r="HR43" s="179"/>
      <c r="HS43" s="179"/>
      <c r="HT43" s="179"/>
      <c r="HU43" s="179"/>
      <c r="HV43" s="179"/>
      <c r="HW43" s="179"/>
      <c r="HX43" s="179"/>
      <c r="HY43" s="179"/>
      <c r="HZ43" s="179"/>
      <c r="IA43" s="179"/>
      <c r="IB43" s="179"/>
      <c r="IC43" s="179"/>
      <c r="ID43" s="179"/>
      <c r="IE43" s="179"/>
      <c r="IF43" s="179"/>
      <c r="IG43" s="179"/>
      <c r="IH43" s="179"/>
      <c r="II43" s="179"/>
      <c r="IJ43" s="179"/>
      <c r="IK43" s="179"/>
      <c r="IL43" s="179"/>
      <c r="IM43" s="179"/>
      <c r="IN43" s="179"/>
    </row>
    <row r="44" spans="1:248" s="73" customFormat="1">
      <c r="A44" s="193" t="s">
        <v>601</v>
      </c>
      <c r="B44" s="194">
        <f>0.02*9100*13*1.302*1.3</f>
        <v>4004.6916000000006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0"/>
      <c r="GF44" s="230"/>
      <c r="GG44" s="230"/>
      <c r="GH44" s="230"/>
      <c r="GI44" s="230"/>
      <c r="GJ44" s="230"/>
      <c r="GK44" s="230"/>
      <c r="GL44" s="230"/>
      <c r="GM44" s="230"/>
      <c r="GN44" s="230"/>
      <c r="GO44" s="230"/>
      <c r="GP44" s="230"/>
      <c r="GQ44" s="230"/>
      <c r="GR44" s="230"/>
      <c r="GS44" s="230"/>
      <c r="GT44" s="230"/>
      <c r="GU44" s="230"/>
      <c r="GV44" s="230"/>
      <c r="GW44" s="230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0"/>
      <c r="HQ44" s="230"/>
      <c r="HR44" s="230"/>
      <c r="HS44" s="230"/>
      <c r="HT44" s="230"/>
      <c r="HU44" s="230"/>
      <c r="HV44" s="230"/>
      <c r="HW44" s="230"/>
      <c r="HX44" s="230"/>
      <c r="HY44" s="230"/>
      <c r="HZ44" s="230"/>
      <c r="IA44" s="230"/>
      <c r="IB44" s="230"/>
      <c r="IC44" s="230"/>
      <c r="ID44" s="230"/>
      <c r="IE44" s="230"/>
      <c r="IF44" s="230"/>
      <c r="IG44" s="230"/>
      <c r="IH44" s="230"/>
      <c r="II44" s="230"/>
      <c r="IJ44" s="230"/>
      <c r="IK44" s="230"/>
      <c r="IL44" s="230"/>
      <c r="IM44" s="230"/>
      <c r="IN44" s="230"/>
    </row>
    <row r="45" spans="1:248">
      <c r="A45" s="193" t="s">
        <v>602</v>
      </c>
      <c r="B45" s="194">
        <f>B23</f>
        <v>44.5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79"/>
      <c r="HL45" s="179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179"/>
      <c r="IA45" s="179"/>
      <c r="IB45" s="179"/>
      <c r="IC45" s="179"/>
      <c r="ID45" s="179"/>
      <c r="IE45" s="179"/>
      <c r="IF45" s="179"/>
      <c r="IG45" s="179"/>
      <c r="IH45" s="179"/>
      <c r="II45" s="179"/>
      <c r="IJ45" s="179"/>
      <c r="IK45" s="179"/>
      <c r="IL45" s="179"/>
      <c r="IM45" s="179"/>
      <c r="IN45" s="179"/>
    </row>
    <row r="46" spans="1:248">
      <c r="A46" s="193" t="s">
        <v>603</v>
      </c>
      <c r="B46" s="194">
        <f>B45*130*1.302*1.3</f>
        <v>9791.6910000000007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  <c r="GU46" s="179"/>
      <c r="GV46" s="179"/>
      <c r="GW46" s="179"/>
      <c r="GX46" s="179"/>
      <c r="GY46" s="179"/>
      <c r="GZ46" s="179"/>
      <c r="HA46" s="179"/>
      <c r="HB46" s="179"/>
      <c r="HC46" s="179"/>
      <c r="HD46" s="179"/>
      <c r="HE46" s="179"/>
      <c r="HF46" s="179"/>
      <c r="HG46" s="179"/>
      <c r="HH46" s="179"/>
      <c r="HI46" s="179"/>
      <c r="HJ46" s="179"/>
      <c r="HK46" s="179"/>
      <c r="HL46" s="179"/>
      <c r="HM46" s="179"/>
      <c r="HN46" s="179"/>
      <c r="HO46" s="179"/>
      <c r="HP46" s="179"/>
      <c r="HQ46" s="179"/>
      <c r="HR46" s="179"/>
      <c r="HS46" s="179"/>
      <c r="HT46" s="179"/>
      <c r="HU46" s="179"/>
      <c r="HV46" s="179"/>
      <c r="HW46" s="179"/>
      <c r="HX46" s="179"/>
      <c r="HY46" s="179"/>
      <c r="HZ46" s="179"/>
      <c r="IA46" s="179"/>
      <c r="IB46" s="179"/>
      <c r="IC46" s="179"/>
      <c r="ID46" s="179"/>
      <c r="IE46" s="179"/>
      <c r="IF46" s="179"/>
      <c r="IG46" s="179"/>
      <c r="IH46" s="179"/>
      <c r="II46" s="179"/>
      <c r="IJ46" s="179"/>
      <c r="IK46" s="179"/>
      <c r="IL46" s="179"/>
      <c r="IM46" s="179"/>
      <c r="IN46" s="179"/>
    </row>
    <row r="47" spans="1:248">
      <c r="A47" s="193" t="s">
        <v>1620</v>
      </c>
      <c r="B47" s="194">
        <f>B31</f>
        <v>0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179"/>
      <c r="IM47" s="179"/>
      <c r="IN47" s="179"/>
    </row>
    <row r="48" spans="1:248" s="73" customFormat="1">
      <c r="A48" s="193" t="s">
        <v>1611</v>
      </c>
      <c r="B48" s="194">
        <f>576.3*1.3</f>
        <v>749.18999999999994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0"/>
      <c r="FF48" s="230"/>
      <c r="FG48" s="230"/>
      <c r="FH48" s="230"/>
      <c r="FI48" s="230"/>
      <c r="FJ48" s="230"/>
      <c r="FK48" s="230"/>
      <c r="FL48" s="230"/>
      <c r="FM48" s="230"/>
      <c r="FN48" s="230"/>
      <c r="FO48" s="230"/>
      <c r="FP48" s="230"/>
      <c r="FQ48" s="230"/>
      <c r="FR48" s="230"/>
      <c r="FS48" s="230"/>
      <c r="FT48" s="230"/>
      <c r="FU48" s="230"/>
      <c r="FV48" s="230"/>
      <c r="FW48" s="230"/>
      <c r="FX48" s="230"/>
      <c r="FY48" s="230"/>
      <c r="FZ48" s="230"/>
      <c r="GA48" s="230"/>
      <c r="GB48" s="230"/>
      <c r="GC48" s="230"/>
      <c r="GD48" s="230"/>
      <c r="GE48" s="230"/>
      <c r="GF48" s="230"/>
      <c r="GG48" s="230"/>
      <c r="GH48" s="230"/>
      <c r="GI48" s="230"/>
      <c r="GJ48" s="230"/>
      <c r="GK48" s="230"/>
      <c r="GL48" s="230"/>
      <c r="GM48" s="230"/>
      <c r="GN48" s="230"/>
      <c r="GO48" s="230"/>
      <c r="GP48" s="230"/>
      <c r="GQ48" s="230"/>
      <c r="GR48" s="230"/>
      <c r="GS48" s="230"/>
      <c r="GT48" s="230"/>
      <c r="GU48" s="230"/>
      <c r="GV48" s="230"/>
      <c r="GW48" s="230"/>
      <c r="GX48" s="230"/>
      <c r="GY48" s="230"/>
      <c r="GZ48" s="230"/>
      <c r="HA48" s="230"/>
      <c r="HB48" s="230"/>
      <c r="HC48" s="230"/>
      <c r="HD48" s="230"/>
      <c r="HE48" s="230"/>
      <c r="HF48" s="230"/>
      <c r="HG48" s="230"/>
      <c r="HH48" s="230"/>
      <c r="HI48" s="230"/>
      <c r="HJ48" s="230"/>
      <c r="HK48" s="230"/>
      <c r="HL48" s="230"/>
      <c r="HM48" s="230"/>
      <c r="HN48" s="230"/>
      <c r="HO48" s="230"/>
      <c r="HP48" s="230"/>
      <c r="HQ48" s="230"/>
      <c r="HR48" s="230"/>
      <c r="HS48" s="230"/>
      <c r="HT48" s="230"/>
      <c r="HU48" s="230"/>
      <c r="HV48" s="230"/>
      <c r="HW48" s="230"/>
      <c r="HX48" s="230"/>
      <c r="HY48" s="230"/>
      <c r="HZ48" s="230"/>
      <c r="IA48" s="230"/>
      <c r="IB48" s="230"/>
      <c r="IC48" s="230"/>
      <c r="ID48" s="230"/>
      <c r="IE48" s="230"/>
      <c r="IF48" s="230"/>
      <c r="IG48" s="230"/>
      <c r="IH48" s="230"/>
      <c r="II48" s="230"/>
      <c r="IJ48" s="230"/>
      <c r="IK48" s="230"/>
      <c r="IL48" s="230"/>
      <c r="IM48" s="230"/>
      <c r="IN48" s="230"/>
    </row>
    <row r="49" spans="1:248">
      <c r="A49" s="193" t="s">
        <v>724</v>
      </c>
      <c r="B49" s="194">
        <f>5182.86*1.3</f>
        <v>6737.7179999999998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</row>
    <row r="50" spans="1:248">
      <c r="A50" s="193" t="s">
        <v>1617</v>
      </c>
      <c r="B50" s="194">
        <v>8351.34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  <c r="GV50" s="179"/>
      <c r="GW50" s="179"/>
      <c r="GX50" s="179"/>
      <c r="GY50" s="179"/>
      <c r="GZ50" s="179"/>
      <c r="HA50" s="179"/>
      <c r="HB50" s="179"/>
      <c r="HC50" s="179"/>
      <c r="HD50" s="179"/>
      <c r="HE50" s="179"/>
      <c r="HF50" s="179"/>
      <c r="HG50" s="179"/>
      <c r="HH50" s="179"/>
      <c r="HI50" s="179"/>
      <c r="HJ50" s="179"/>
      <c r="HK50" s="179"/>
      <c r="HL50" s="179"/>
      <c r="HM50" s="179"/>
      <c r="HN50" s="179"/>
      <c r="HO50" s="179"/>
      <c r="HP50" s="179"/>
      <c r="HQ50" s="179"/>
      <c r="HR50" s="179"/>
      <c r="HS50" s="179"/>
      <c r="HT50" s="179"/>
      <c r="HU50" s="179"/>
      <c r="HV50" s="179"/>
      <c r="HW50" s="179"/>
      <c r="HX50" s="179"/>
      <c r="HY50" s="179"/>
      <c r="HZ50" s="179"/>
      <c r="IA50" s="179"/>
      <c r="IB50" s="179"/>
      <c r="IC50" s="179"/>
      <c r="ID50" s="179"/>
      <c r="IE50" s="179"/>
      <c r="IF50" s="179"/>
      <c r="IG50" s="179"/>
      <c r="IH50" s="179"/>
      <c r="II50" s="179"/>
      <c r="IJ50" s="179"/>
      <c r="IK50" s="179"/>
      <c r="IL50" s="179"/>
      <c r="IM50" s="179"/>
      <c r="IN50" s="179"/>
    </row>
    <row r="51" spans="1:248">
      <c r="A51" s="193" t="s">
        <v>1613</v>
      </c>
      <c r="B51" s="194">
        <f>B34-B36-B50</f>
        <v>-4732.777512058532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  <c r="GV51" s="179"/>
      <c r="GW51" s="179"/>
      <c r="GX51" s="179"/>
      <c r="GY51" s="179"/>
      <c r="GZ51" s="179"/>
      <c r="HA51" s="179"/>
      <c r="HB51" s="179"/>
      <c r="HC51" s="179"/>
      <c r="HD51" s="179"/>
      <c r="HE51" s="179"/>
      <c r="HF51" s="179"/>
      <c r="HG51" s="179"/>
      <c r="HH51" s="179"/>
      <c r="HI51" s="179"/>
      <c r="HJ51" s="179"/>
      <c r="HK51" s="179"/>
      <c r="HL51" s="179"/>
      <c r="HM51" s="179"/>
      <c r="HN51" s="179"/>
      <c r="HO51" s="179"/>
      <c r="HP51" s="179"/>
      <c r="HQ51" s="179"/>
      <c r="HR51" s="179"/>
      <c r="HS51" s="179"/>
      <c r="HT51" s="179"/>
      <c r="HU51" s="179"/>
      <c r="HV51" s="179"/>
      <c r="HW51" s="179"/>
      <c r="HX51" s="179"/>
      <c r="HY51" s="179"/>
      <c r="HZ51" s="179"/>
      <c r="IA51" s="179"/>
      <c r="IB51" s="179"/>
      <c r="IC51" s="179"/>
      <c r="ID51" s="179"/>
      <c r="IE51" s="179"/>
      <c r="IF51" s="179"/>
      <c r="IG51" s="179"/>
      <c r="IH51" s="179"/>
      <c r="II51" s="179"/>
      <c r="IJ51" s="179"/>
      <c r="IK51" s="179"/>
      <c r="IL51" s="179"/>
      <c r="IM51" s="179"/>
      <c r="IN51" s="179"/>
    </row>
    <row r="52" spans="1:248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  <c r="GU52" s="179"/>
      <c r="GV52" s="179"/>
      <c r="GW52" s="179"/>
      <c r="GX52" s="179"/>
      <c r="GY52" s="179"/>
      <c r="GZ52" s="179"/>
      <c r="HA52" s="179"/>
      <c r="HB52" s="179"/>
      <c r="HC52" s="179"/>
      <c r="HD52" s="179"/>
      <c r="HE52" s="179"/>
      <c r="HF52" s="179"/>
      <c r="HG52" s="179"/>
      <c r="HH52" s="179"/>
      <c r="HI52" s="179"/>
      <c r="HJ52" s="179"/>
      <c r="HK52" s="179"/>
      <c r="HL52" s="179"/>
      <c r="HM52" s="179"/>
      <c r="HN52" s="179"/>
      <c r="HO52" s="179"/>
      <c r="HP52" s="179"/>
      <c r="HQ52" s="179"/>
      <c r="HR52" s="179"/>
      <c r="HS52" s="179"/>
      <c r="HT52" s="179"/>
      <c r="HU52" s="179"/>
      <c r="HV52" s="179"/>
      <c r="HW52" s="179"/>
      <c r="HX52" s="179"/>
      <c r="HY52" s="179"/>
      <c r="HZ52" s="179"/>
      <c r="IA52" s="179"/>
      <c r="IB52" s="179"/>
      <c r="IC52" s="179"/>
      <c r="ID52" s="179"/>
      <c r="IE52" s="179"/>
      <c r="IF52" s="179"/>
      <c r="IG52" s="179"/>
      <c r="IH52" s="179"/>
      <c r="II52" s="179"/>
      <c r="IJ52" s="179"/>
      <c r="IK52" s="179"/>
      <c r="IL52" s="179"/>
      <c r="IM52" s="179"/>
      <c r="IN52" s="179"/>
    </row>
    <row r="53" spans="1:248">
      <c r="A53" s="448" t="s">
        <v>605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  <c r="HW53" s="179"/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</row>
    <row r="55" spans="1:248">
      <c r="A55" s="321" t="s">
        <v>1612</v>
      </c>
      <c r="B55">
        <f>6.94*B26*12</f>
        <v>18521.472000000002</v>
      </c>
    </row>
    <row r="56" spans="1:248">
      <c r="B56" s="276">
        <f>B55+B36</f>
        <v>99354.159512058512</v>
      </c>
    </row>
    <row r="57" spans="1:248">
      <c r="B57">
        <f>B56/B36</f>
        <v>1.2291334430422962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7"/>
  <sheetViews>
    <sheetView topLeftCell="A37" workbookViewId="0">
      <selection activeCell="A38" sqref="A38:B65"/>
    </sheetView>
  </sheetViews>
  <sheetFormatPr defaultRowHeight="15"/>
  <cols>
    <col min="1" max="1" width="76.85546875" customWidth="1"/>
    <col min="2" max="2" width="12.85546875" customWidth="1"/>
  </cols>
  <sheetData>
    <row r="1" spans="1:3" ht="15.75">
      <c r="A1" s="701" t="s">
        <v>364</v>
      </c>
      <c r="B1" s="701"/>
      <c r="C1" s="75"/>
    </row>
    <row r="2" spans="1:3" ht="15.75">
      <c r="A2" s="702" t="s">
        <v>1578</v>
      </c>
      <c r="B2" s="702"/>
      <c r="C2" s="75"/>
    </row>
    <row r="3" spans="1:3" s="55" customFormat="1" ht="15.75">
      <c r="A3" s="702" t="s">
        <v>1584</v>
      </c>
      <c r="B3" s="702"/>
      <c r="C3" s="74"/>
    </row>
    <row r="4" spans="1:3" s="55" customFormat="1" ht="15.75">
      <c r="A4" s="150"/>
      <c r="B4" s="86"/>
    </row>
    <row r="5" spans="1:3" ht="36.75" customHeight="1">
      <c r="A5" s="227" t="s">
        <v>229</v>
      </c>
      <c r="B5" s="82" t="s">
        <v>232</v>
      </c>
    </row>
    <row r="6" spans="1:3" s="73" customFormat="1">
      <c r="A6" s="224" t="s">
        <v>229</v>
      </c>
      <c r="B6" s="72"/>
    </row>
    <row r="7" spans="1:3" s="73" customFormat="1" ht="15.75" thickBot="1">
      <c r="A7" s="228" t="s">
        <v>255</v>
      </c>
      <c r="B7" s="72"/>
    </row>
    <row r="8" spans="1:3" s="73" customFormat="1" ht="15.75" thickBot="1">
      <c r="A8" s="229" t="s">
        <v>56</v>
      </c>
      <c r="B8" s="72"/>
    </row>
    <row r="9" spans="1:3" s="73" customFormat="1" ht="15.75" thickBot="1">
      <c r="A9" s="397" t="s">
        <v>57</v>
      </c>
      <c r="B9" s="72"/>
    </row>
    <row r="10" spans="1:3" s="73" customFormat="1" ht="35.25" customHeight="1" thickBot="1">
      <c r="A10" s="408" t="s">
        <v>1504</v>
      </c>
      <c r="B10" s="409">
        <v>16</v>
      </c>
    </row>
    <row r="11" spans="1:3" s="73" customFormat="1" ht="28.5">
      <c r="A11" s="418" t="s">
        <v>1525</v>
      </c>
      <c r="B11" s="409">
        <v>4</v>
      </c>
    </row>
    <row r="12" spans="1:3" s="73" customFormat="1">
      <c r="A12" s="411" t="s">
        <v>66</v>
      </c>
      <c r="B12" s="409"/>
    </row>
    <row r="13" spans="1:3" s="73" customFormat="1" ht="33" customHeight="1">
      <c r="A13" s="97" t="s">
        <v>1505</v>
      </c>
      <c r="B13" s="409">
        <f>0.5+0.5</f>
        <v>1</v>
      </c>
    </row>
    <row r="14" spans="1:3" s="73" customFormat="1" ht="15" customHeight="1">
      <c r="A14" s="84" t="s">
        <v>1508</v>
      </c>
      <c r="B14" s="409">
        <v>1</v>
      </c>
    </row>
    <row r="15" spans="1:3" s="73" customFormat="1" ht="29.25" customHeight="1">
      <c r="A15" s="412" t="s">
        <v>1509</v>
      </c>
      <c r="B15" s="409">
        <v>1.5</v>
      </c>
    </row>
    <row r="16" spans="1:3" s="73" customFormat="1" ht="28.5">
      <c r="A16" s="97" t="s">
        <v>1510</v>
      </c>
      <c r="B16" s="409">
        <v>1</v>
      </c>
    </row>
    <row r="17" spans="1:2" s="73" customFormat="1" ht="28.5">
      <c r="A17" s="97" t="s">
        <v>1512</v>
      </c>
      <c r="B17" s="409">
        <v>1</v>
      </c>
    </row>
    <row r="18" spans="1:2" s="73" customFormat="1" ht="28.5">
      <c r="A18" s="97" t="s">
        <v>1521</v>
      </c>
      <c r="B18" s="409">
        <v>12</v>
      </c>
    </row>
    <row r="19" spans="1:2" s="73" customFormat="1">
      <c r="A19" s="419" t="s">
        <v>590</v>
      </c>
      <c r="B19" s="409"/>
    </row>
    <row r="20" spans="1:2" s="73" customFormat="1" ht="15" customHeight="1">
      <c r="A20" s="412" t="s">
        <v>1506</v>
      </c>
      <c r="B20" s="413">
        <v>1</v>
      </c>
    </row>
    <row r="21" spans="1:2" ht="29.25">
      <c r="A21" s="415" t="s">
        <v>1511</v>
      </c>
      <c r="B21" s="414">
        <v>2</v>
      </c>
    </row>
    <row r="22" spans="1:2" s="73" customFormat="1" ht="29.25" customHeight="1">
      <c r="A22" s="417" t="s">
        <v>1514</v>
      </c>
      <c r="B22" s="409">
        <v>12</v>
      </c>
    </row>
    <row r="23" spans="1:2" s="73" customFormat="1" ht="33" customHeight="1">
      <c r="A23" s="417" t="s">
        <v>1515</v>
      </c>
      <c r="B23" s="409"/>
    </row>
    <row r="24" spans="1:2" s="73" customFormat="1" ht="33" customHeight="1">
      <c r="A24" s="417" t="s">
        <v>1517</v>
      </c>
      <c r="B24" s="409">
        <v>3</v>
      </c>
    </row>
    <row r="25" spans="1:2" s="73" customFormat="1" ht="30.75" customHeight="1">
      <c r="A25" s="417" t="s">
        <v>1520</v>
      </c>
      <c r="B25" s="409">
        <v>1</v>
      </c>
    </row>
    <row r="26" spans="1:2" ht="15.75" customHeight="1">
      <c r="A26" s="419" t="s">
        <v>102</v>
      </c>
      <c r="B26" s="410"/>
    </row>
    <row r="27" spans="1:2" s="73" customFormat="1" ht="16.5" customHeight="1">
      <c r="A27" s="416" t="s">
        <v>1503</v>
      </c>
      <c r="B27" s="409">
        <v>1</v>
      </c>
    </row>
    <row r="28" spans="1:2" s="73" customFormat="1">
      <c r="A28" s="412" t="s">
        <v>1507</v>
      </c>
      <c r="B28" s="409">
        <v>1</v>
      </c>
    </row>
    <row r="29" spans="1:2" s="73" customFormat="1">
      <c r="A29" s="416" t="s">
        <v>1513</v>
      </c>
      <c r="B29" s="409">
        <v>1</v>
      </c>
    </row>
    <row r="30" spans="1:2" s="73" customFormat="1" ht="32.25" customHeight="1">
      <c r="A30" s="412" t="s">
        <v>1516</v>
      </c>
      <c r="B30" s="409">
        <v>1</v>
      </c>
    </row>
    <row r="31" spans="1:2" s="73" customFormat="1">
      <c r="A31" s="412" t="s">
        <v>1518</v>
      </c>
      <c r="B31" s="409">
        <v>1</v>
      </c>
    </row>
    <row r="32" spans="1:2" s="73" customFormat="1" ht="28.5">
      <c r="A32" s="412" t="s">
        <v>1519</v>
      </c>
      <c r="B32" s="409">
        <v>1</v>
      </c>
    </row>
    <row r="33" spans="1:251" s="73" customFormat="1" ht="28.5">
      <c r="A33" s="412" t="s">
        <v>1522</v>
      </c>
      <c r="B33" s="409">
        <v>3</v>
      </c>
    </row>
    <row r="34" spans="1:251" s="73" customFormat="1" ht="33" customHeight="1">
      <c r="A34" s="417" t="s">
        <v>1523</v>
      </c>
      <c r="B34" s="409">
        <v>1.5</v>
      </c>
      <c r="F34" s="73" t="s">
        <v>657</v>
      </c>
      <c r="G34" s="73">
        <f>2+1+1+2</f>
        <v>6</v>
      </c>
    </row>
    <row r="35" spans="1:251" s="73" customFormat="1" ht="29.25" thickBot="1">
      <c r="A35" s="412" t="s">
        <v>1524</v>
      </c>
      <c r="B35" s="409">
        <v>1</v>
      </c>
      <c r="F35" s="73" t="s">
        <v>658</v>
      </c>
      <c r="G35" s="73">
        <f>4+1</f>
        <v>5</v>
      </c>
    </row>
    <row r="36" spans="1:251" s="73" customFormat="1" ht="15.75" thickBot="1">
      <c r="A36" s="420" t="s">
        <v>587</v>
      </c>
      <c r="B36" s="413">
        <f>SUM(B10:B35)</f>
        <v>68</v>
      </c>
      <c r="C36" s="73">
        <v>25</v>
      </c>
    </row>
    <row r="37" spans="1:251">
      <c r="A37" s="78"/>
      <c r="B37" s="75"/>
    </row>
    <row r="38" spans="1:251" s="230" customFormat="1" ht="40.5" customHeight="1">
      <c r="A38" s="405" t="s">
        <v>1556</v>
      </c>
      <c r="IQ38" s="73"/>
    </row>
    <row r="39" spans="1:251" s="230" customFormat="1" ht="48.75" customHeight="1">
      <c r="A39" s="430" t="s">
        <v>654</v>
      </c>
      <c r="B39" s="430" t="s">
        <v>1132</v>
      </c>
      <c r="IQ39" s="73"/>
    </row>
    <row r="40" spans="1:251" s="73" customFormat="1">
      <c r="A40" s="424" t="s">
        <v>593</v>
      </c>
      <c r="B40" s="196">
        <v>690.83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0"/>
      <c r="GN40" s="230"/>
      <c r="GO40" s="230"/>
      <c r="GP40" s="230"/>
      <c r="GQ40" s="230"/>
      <c r="GR40" s="230"/>
      <c r="GS40" s="230"/>
      <c r="GT40" s="230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  <c r="IO40" s="230"/>
      <c r="IP40" s="230"/>
    </row>
    <row r="41" spans="1:251" s="73" customFormat="1">
      <c r="A41" s="424" t="s">
        <v>594</v>
      </c>
      <c r="B41" s="196">
        <v>17.829999999999998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  <c r="IO41" s="230"/>
      <c r="IP41" s="230"/>
    </row>
    <row r="42" spans="1:251" s="73" customFormat="1">
      <c r="A42" s="432" t="s">
        <v>711</v>
      </c>
      <c r="B42" s="193">
        <v>4539.96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0"/>
      <c r="GN42" s="230"/>
      <c r="GO42" s="230"/>
      <c r="GP42" s="230"/>
      <c r="GQ42" s="230"/>
      <c r="GR42" s="230"/>
      <c r="GS42" s="230"/>
      <c r="GT42" s="230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0"/>
      <c r="IB42" s="230"/>
      <c r="IC42" s="230"/>
      <c r="ID42" s="230"/>
      <c r="IE42" s="230"/>
      <c r="IF42" s="230"/>
      <c r="IG42" s="230"/>
      <c r="IH42" s="230"/>
      <c r="II42" s="230"/>
      <c r="IJ42" s="230"/>
      <c r="IK42" s="230"/>
      <c r="IL42" s="230"/>
      <c r="IM42" s="230"/>
      <c r="IN42" s="230"/>
      <c r="IO42" s="230"/>
      <c r="IP42" s="230"/>
    </row>
    <row r="43" spans="1:251" s="73" customFormat="1">
      <c r="A43" s="422" t="s">
        <v>1123</v>
      </c>
      <c r="B43" s="193">
        <v>147810.12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230"/>
      <c r="FL43" s="230"/>
      <c r="FM43" s="230"/>
      <c r="FN43" s="230"/>
      <c r="FO43" s="230"/>
      <c r="FP43" s="230"/>
      <c r="FQ43" s="230"/>
      <c r="FR43" s="230"/>
      <c r="FS43" s="230"/>
      <c r="FT43" s="230"/>
      <c r="FU43" s="230"/>
      <c r="FV43" s="230"/>
      <c r="FW43" s="230"/>
      <c r="FX43" s="230"/>
      <c r="FY43" s="230"/>
      <c r="FZ43" s="230"/>
      <c r="GA43" s="230"/>
      <c r="GB43" s="230"/>
      <c r="GC43" s="230"/>
      <c r="GD43" s="230"/>
      <c r="GE43" s="230"/>
      <c r="GF43" s="230"/>
      <c r="GG43" s="230"/>
      <c r="GH43" s="230"/>
      <c r="GI43" s="230"/>
      <c r="GJ43" s="230"/>
      <c r="GK43" s="230"/>
      <c r="GL43" s="230"/>
      <c r="GM43" s="230"/>
      <c r="GN43" s="230"/>
      <c r="GO43" s="230"/>
      <c r="GP43" s="230"/>
      <c r="GQ43" s="230"/>
      <c r="GR43" s="230"/>
      <c r="GS43" s="230"/>
      <c r="GT43" s="230"/>
      <c r="GU43" s="230"/>
      <c r="GV43" s="230"/>
      <c r="GW43" s="230"/>
      <c r="GX43" s="230"/>
      <c r="GY43" s="230"/>
      <c r="GZ43" s="230"/>
      <c r="HA43" s="230"/>
      <c r="HB43" s="230"/>
      <c r="HC43" s="230"/>
      <c r="HD43" s="230"/>
      <c r="HE43" s="230"/>
      <c r="HF43" s="230"/>
      <c r="HG43" s="230"/>
      <c r="HH43" s="230"/>
      <c r="HI43" s="230"/>
      <c r="HJ43" s="230"/>
      <c r="HK43" s="230"/>
      <c r="HL43" s="230"/>
      <c r="HM43" s="230"/>
      <c r="HN43" s="230"/>
      <c r="HO43" s="230"/>
      <c r="HP43" s="230"/>
      <c r="HQ43" s="230"/>
      <c r="HR43" s="230"/>
      <c r="HS43" s="230"/>
      <c r="HT43" s="230"/>
      <c r="HU43" s="230"/>
      <c r="HV43" s="230"/>
      <c r="HW43" s="230"/>
      <c r="HX43" s="230"/>
      <c r="HY43" s="230"/>
      <c r="HZ43" s="230"/>
      <c r="IA43" s="230"/>
      <c r="IB43" s="230"/>
      <c r="IC43" s="230"/>
      <c r="ID43" s="230"/>
      <c r="IE43" s="230"/>
      <c r="IF43" s="230"/>
      <c r="IG43" s="230"/>
      <c r="IH43" s="230"/>
      <c r="II43" s="230"/>
      <c r="IJ43" s="230"/>
      <c r="IK43" s="230"/>
      <c r="IL43" s="230"/>
      <c r="IM43" s="230"/>
      <c r="IN43" s="230"/>
      <c r="IO43" s="230"/>
      <c r="IP43" s="230"/>
    </row>
    <row r="44" spans="1:251" s="73" customFormat="1">
      <c r="A44" s="422" t="s">
        <v>596</v>
      </c>
      <c r="B44" s="193">
        <v>5051.76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0"/>
      <c r="GF44" s="230"/>
      <c r="GG44" s="230"/>
      <c r="GH44" s="230"/>
      <c r="GI44" s="230"/>
      <c r="GJ44" s="230"/>
      <c r="GK44" s="230"/>
      <c r="GL44" s="230"/>
      <c r="GM44" s="230"/>
      <c r="GN44" s="230"/>
      <c r="GO44" s="230"/>
      <c r="GP44" s="230"/>
      <c r="GQ44" s="230"/>
      <c r="GR44" s="230"/>
      <c r="GS44" s="230"/>
      <c r="GT44" s="230"/>
      <c r="GU44" s="230"/>
      <c r="GV44" s="230"/>
      <c r="GW44" s="230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0"/>
      <c r="HQ44" s="230"/>
      <c r="HR44" s="230"/>
      <c r="HS44" s="230"/>
      <c r="HT44" s="230"/>
      <c r="HU44" s="230"/>
      <c r="HV44" s="230"/>
      <c r="HW44" s="230"/>
      <c r="HX44" s="230"/>
      <c r="HY44" s="230"/>
      <c r="HZ44" s="230"/>
      <c r="IA44" s="230"/>
      <c r="IB44" s="230"/>
      <c r="IC44" s="230"/>
      <c r="ID44" s="230"/>
      <c r="IE44" s="230"/>
      <c r="IF44" s="230"/>
      <c r="IG44" s="230"/>
      <c r="IH44" s="230"/>
      <c r="II44" s="230"/>
      <c r="IJ44" s="230"/>
      <c r="IK44" s="230"/>
      <c r="IL44" s="230"/>
      <c r="IM44" s="230"/>
      <c r="IN44" s="230"/>
      <c r="IO44" s="230"/>
      <c r="IP44" s="230"/>
    </row>
    <row r="45" spans="1:251" s="73" customFormat="1">
      <c r="A45" s="422" t="s">
        <v>798</v>
      </c>
      <c r="B45" s="193">
        <f>B42+B43+B44-B46-35000</f>
        <v>110640.97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230"/>
      <c r="GM45" s="230"/>
      <c r="GN45" s="230"/>
      <c r="GO45" s="230"/>
      <c r="GP45" s="230"/>
      <c r="GQ45" s="230"/>
      <c r="GR45" s="230"/>
      <c r="GS45" s="230"/>
      <c r="GT45" s="230"/>
      <c r="GU45" s="230"/>
      <c r="GV45" s="230"/>
      <c r="GW45" s="230"/>
      <c r="GX45" s="230"/>
      <c r="GY45" s="230"/>
      <c r="GZ45" s="230"/>
      <c r="HA45" s="230"/>
      <c r="HB45" s="230"/>
      <c r="HC45" s="230"/>
      <c r="HD45" s="230"/>
      <c r="HE45" s="230"/>
      <c r="HF45" s="230"/>
      <c r="HG45" s="230"/>
      <c r="HH45" s="230"/>
      <c r="HI45" s="230"/>
      <c r="HJ45" s="230"/>
      <c r="HK45" s="230"/>
      <c r="HL45" s="230"/>
      <c r="HM45" s="230"/>
      <c r="HN45" s="230"/>
      <c r="HO45" s="230"/>
      <c r="HP45" s="230"/>
      <c r="HQ45" s="230"/>
      <c r="HR45" s="230"/>
      <c r="HS45" s="230"/>
      <c r="HT45" s="230"/>
      <c r="HU45" s="230"/>
      <c r="HV45" s="230"/>
      <c r="HW45" s="230"/>
      <c r="HX45" s="230"/>
      <c r="HY45" s="230"/>
      <c r="HZ45" s="230"/>
      <c r="IA45" s="230"/>
      <c r="IB45" s="230"/>
      <c r="IC45" s="230"/>
      <c r="ID45" s="230"/>
      <c r="IE45" s="230"/>
      <c r="IF45" s="230"/>
      <c r="IG45" s="230"/>
      <c r="IH45" s="230"/>
      <c r="II45" s="230"/>
      <c r="IJ45" s="230"/>
      <c r="IK45" s="230"/>
      <c r="IL45" s="230"/>
      <c r="IM45" s="230"/>
      <c r="IN45" s="230"/>
      <c r="IO45" s="230"/>
      <c r="IP45" s="230"/>
    </row>
    <row r="46" spans="1:251" s="73" customFormat="1">
      <c r="A46" s="432" t="s">
        <v>1124</v>
      </c>
      <c r="B46" s="193">
        <v>11760.87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</row>
    <row r="47" spans="1:251" s="73" customFormat="1" ht="19.5" customHeight="1">
      <c r="A47" s="435" t="s">
        <v>1555</v>
      </c>
      <c r="B47" s="196">
        <f>B45</f>
        <v>110640.97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  <c r="FS47" s="230"/>
      <c r="FT47" s="230"/>
      <c r="FU47" s="230"/>
      <c r="FV47" s="230"/>
      <c r="FW47" s="230"/>
      <c r="FX47" s="230"/>
      <c r="FY47" s="230"/>
      <c r="FZ47" s="230"/>
      <c r="GA47" s="230"/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  <c r="GM47" s="230"/>
      <c r="GN47" s="230"/>
      <c r="GO47" s="230"/>
      <c r="GP47" s="230"/>
      <c r="GQ47" s="230"/>
      <c r="GR47" s="230"/>
      <c r="GS47" s="230"/>
      <c r="GT47" s="230"/>
      <c r="GU47" s="230"/>
      <c r="GV47" s="230"/>
      <c r="GW47" s="230"/>
      <c r="GX47" s="230"/>
      <c r="GY47" s="230"/>
      <c r="GZ47" s="230"/>
      <c r="HA47" s="230"/>
      <c r="HB47" s="230"/>
      <c r="HC47" s="230"/>
      <c r="HD47" s="230"/>
      <c r="HE47" s="230"/>
      <c r="HF47" s="230"/>
      <c r="HG47" s="230"/>
      <c r="HH47" s="230"/>
      <c r="HI47" s="230"/>
      <c r="HJ47" s="230"/>
      <c r="HK47" s="230"/>
      <c r="HL47" s="230"/>
      <c r="HM47" s="230"/>
      <c r="HN47" s="230"/>
      <c r="HO47" s="230"/>
      <c r="HP47" s="230"/>
      <c r="HQ47" s="230"/>
      <c r="HR47" s="230"/>
      <c r="HS47" s="230"/>
      <c r="HT47" s="230"/>
      <c r="HU47" s="230"/>
      <c r="HV47" s="230"/>
      <c r="HW47" s="230"/>
      <c r="HX47" s="230"/>
      <c r="HY47" s="230"/>
      <c r="HZ47" s="230"/>
      <c r="IA47" s="230"/>
      <c r="IB47" s="230"/>
      <c r="IC47" s="230"/>
      <c r="ID47" s="230"/>
      <c r="IE47" s="230"/>
      <c r="IF47" s="230"/>
      <c r="IG47" s="230"/>
      <c r="IH47" s="230"/>
      <c r="II47" s="230"/>
      <c r="IJ47" s="230"/>
      <c r="IK47" s="230"/>
      <c r="IL47" s="230"/>
      <c r="IM47" s="230"/>
      <c r="IN47" s="230"/>
      <c r="IO47" s="230"/>
      <c r="IP47" s="230"/>
    </row>
    <row r="48" spans="1:251" s="73" customFormat="1">
      <c r="A48" s="432"/>
      <c r="B48" s="193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0"/>
      <c r="FF48" s="230"/>
      <c r="FG48" s="230"/>
      <c r="FH48" s="230"/>
      <c r="FI48" s="230"/>
      <c r="FJ48" s="230"/>
      <c r="FK48" s="230"/>
      <c r="FL48" s="230"/>
      <c r="FM48" s="230"/>
      <c r="FN48" s="230"/>
      <c r="FO48" s="230"/>
      <c r="FP48" s="230"/>
      <c r="FQ48" s="230"/>
      <c r="FR48" s="230"/>
      <c r="FS48" s="230"/>
      <c r="FT48" s="230"/>
      <c r="FU48" s="230"/>
      <c r="FV48" s="230"/>
      <c r="FW48" s="230"/>
      <c r="FX48" s="230"/>
      <c r="FY48" s="230"/>
      <c r="FZ48" s="230"/>
      <c r="GA48" s="230"/>
      <c r="GB48" s="230"/>
      <c r="GC48" s="230"/>
      <c r="GD48" s="230"/>
      <c r="GE48" s="230"/>
      <c r="GF48" s="230"/>
      <c r="GG48" s="230"/>
      <c r="GH48" s="230"/>
      <c r="GI48" s="230"/>
      <c r="GJ48" s="230"/>
      <c r="GK48" s="230"/>
      <c r="GL48" s="230"/>
      <c r="GM48" s="230"/>
      <c r="GN48" s="230"/>
      <c r="GO48" s="230"/>
      <c r="GP48" s="230"/>
      <c r="GQ48" s="230"/>
      <c r="GR48" s="230"/>
      <c r="GS48" s="230"/>
      <c r="GT48" s="230"/>
      <c r="GU48" s="230"/>
      <c r="GV48" s="230"/>
      <c r="GW48" s="230"/>
      <c r="GX48" s="230"/>
      <c r="GY48" s="230"/>
      <c r="GZ48" s="230"/>
      <c r="HA48" s="230"/>
      <c r="HB48" s="230"/>
      <c r="HC48" s="230"/>
      <c r="HD48" s="230"/>
      <c r="HE48" s="230"/>
      <c r="HF48" s="230"/>
      <c r="HG48" s="230"/>
      <c r="HH48" s="230"/>
      <c r="HI48" s="230"/>
      <c r="HJ48" s="230"/>
      <c r="HK48" s="230"/>
      <c r="HL48" s="230"/>
      <c r="HM48" s="230"/>
      <c r="HN48" s="230"/>
      <c r="HO48" s="230"/>
      <c r="HP48" s="230"/>
      <c r="HQ48" s="230"/>
      <c r="HR48" s="230"/>
      <c r="HS48" s="230"/>
      <c r="HT48" s="230"/>
      <c r="HU48" s="230"/>
      <c r="HV48" s="230"/>
      <c r="HW48" s="230"/>
      <c r="HX48" s="230"/>
      <c r="HY48" s="230"/>
      <c r="HZ48" s="230"/>
      <c r="IA48" s="230"/>
      <c r="IB48" s="230"/>
      <c r="IC48" s="230"/>
      <c r="ID48" s="230"/>
      <c r="IE48" s="230"/>
      <c r="IF48" s="230"/>
      <c r="IG48" s="230"/>
      <c r="IH48" s="230"/>
      <c r="II48" s="230"/>
      <c r="IJ48" s="230"/>
      <c r="IK48" s="230"/>
      <c r="IL48" s="230"/>
      <c r="IM48" s="230"/>
      <c r="IN48" s="230"/>
      <c r="IO48" s="230"/>
      <c r="IP48" s="230"/>
    </row>
    <row r="49" spans="1:250" s="73" customFormat="1">
      <c r="A49" s="431" t="s">
        <v>1130</v>
      </c>
      <c r="B49" s="198">
        <f>B51+B52+B53+B56+B57+B59+B62+B60+B61+B54+B55</f>
        <v>88146.33294642721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230"/>
      <c r="FG49" s="230"/>
      <c r="FH49" s="230"/>
      <c r="FI49" s="230"/>
      <c r="FJ49" s="230"/>
      <c r="FK49" s="230"/>
      <c r="FL49" s="230"/>
      <c r="FM49" s="230"/>
      <c r="FN49" s="230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0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  <c r="GM49" s="230"/>
      <c r="GN49" s="230"/>
      <c r="GO49" s="230"/>
      <c r="GP49" s="230"/>
      <c r="GQ49" s="230"/>
      <c r="GR49" s="230"/>
      <c r="GS49" s="230"/>
      <c r="GT49" s="230"/>
      <c r="GU49" s="230"/>
      <c r="GV49" s="230"/>
      <c r="GW49" s="230"/>
      <c r="GX49" s="230"/>
      <c r="GY49" s="230"/>
      <c r="GZ49" s="230"/>
      <c r="HA49" s="230"/>
      <c r="HB49" s="230"/>
      <c r="HC49" s="230"/>
      <c r="HD49" s="230"/>
      <c r="HE49" s="230"/>
      <c r="HF49" s="230"/>
      <c r="HG49" s="230"/>
      <c r="HH49" s="230"/>
      <c r="HI49" s="230"/>
      <c r="HJ49" s="230"/>
      <c r="HK49" s="230"/>
      <c r="HL49" s="230"/>
      <c r="HM49" s="230"/>
      <c r="HN49" s="230"/>
      <c r="HO49" s="230"/>
      <c r="HP49" s="230"/>
      <c r="HQ49" s="230"/>
      <c r="HR49" s="230"/>
      <c r="HS49" s="230"/>
      <c r="HT49" s="230"/>
      <c r="HU49" s="230"/>
      <c r="HV49" s="230"/>
      <c r="HW49" s="230"/>
      <c r="HX49" s="230"/>
      <c r="HY49" s="230"/>
      <c r="HZ49" s="230"/>
      <c r="IA49" s="230"/>
      <c r="IB49" s="230"/>
      <c r="IC49" s="230"/>
      <c r="ID49" s="230"/>
      <c r="IE49" s="230"/>
      <c r="IF49" s="230"/>
      <c r="IG49" s="230"/>
      <c r="IH49" s="230"/>
      <c r="II49" s="230"/>
      <c r="IJ49" s="230"/>
      <c r="IK49" s="230"/>
      <c r="IL49" s="230"/>
      <c r="IM49" s="230"/>
      <c r="IN49" s="230"/>
      <c r="IO49" s="230"/>
      <c r="IP49" s="230"/>
    </row>
    <row r="50" spans="1:250" s="73" customFormat="1">
      <c r="A50" s="432" t="s">
        <v>599</v>
      </c>
      <c r="B50" s="193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230"/>
      <c r="FG50" s="230"/>
      <c r="FH50" s="230"/>
      <c r="FI50" s="230"/>
      <c r="FJ50" s="230"/>
      <c r="FK50" s="230"/>
      <c r="FL50" s="230"/>
      <c r="FM50" s="230"/>
      <c r="FN50" s="230"/>
      <c r="FO50" s="230"/>
      <c r="FP50" s="230"/>
      <c r="FQ50" s="230"/>
      <c r="FR50" s="230"/>
      <c r="FS50" s="230"/>
      <c r="FT50" s="230"/>
      <c r="FU50" s="230"/>
      <c r="FV50" s="230"/>
      <c r="FW50" s="230"/>
      <c r="FX50" s="230"/>
      <c r="FY50" s="230"/>
      <c r="FZ50" s="230"/>
      <c r="GA50" s="230"/>
      <c r="GB50" s="230"/>
      <c r="GC50" s="230"/>
      <c r="GD50" s="230"/>
      <c r="GE50" s="230"/>
      <c r="GF50" s="230"/>
      <c r="GG50" s="230"/>
      <c r="GH50" s="230"/>
      <c r="GI50" s="230"/>
      <c r="GJ50" s="230"/>
      <c r="GK50" s="230"/>
      <c r="GL50" s="230"/>
      <c r="GM50" s="230"/>
      <c r="GN50" s="230"/>
      <c r="GO50" s="230"/>
      <c r="GP50" s="230"/>
      <c r="GQ50" s="230"/>
      <c r="GR50" s="230"/>
      <c r="GS50" s="230"/>
      <c r="GT50" s="230"/>
      <c r="GU50" s="230"/>
      <c r="GV50" s="230"/>
      <c r="GW50" s="230"/>
      <c r="GX50" s="230"/>
      <c r="GY50" s="230"/>
      <c r="GZ50" s="230"/>
      <c r="HA50" s="230"/>
      <c r="HB50" s="230"/>
      <c r="HC50" s="230"/>
      <c r="HD50" s="230"/>
      <c r="HE50" s="230"/>
      <c r="HF50" s="230"/>
      <c r="HG50" s="230"/>
      <c r="HH50" s="230"/>
      <c r="HI50" s="230"/>
      <c r="HJ50" s="230"/>
      <c r="HK50" s="230"/>
      <c r="HL50" s="230"/>
      <c r="HM50" s="230"/>
      <c r="HN50" s="230"/>
      <c r="HO50" s="230"/>
      <c r="HP50" s="230"/>
      <c r="HQ50" s="230"/>
      <c r="HR50" s="230"/>
      <c r="HS50" s="230"/>
      <c r="HT50" s="230"/>
      <c r="HU50" s="230"/>
      <c r="HV50" s="230"/>
      <c r="HW50" s="230"/>
      <c r="HX50" s="230"/>
      <c r="HY50" s="230"/>
      <c r="HZ50" s="230"/>
      <c r="IA50" s="230"/>
      <c r="IB50" s="230"/>
      <c r="IC50" s="230"/>
      <c r="ID50" s="230"/>
      <c r="IE50" s="230"/>
      <c r="IF50" s="230"/>
      <c r="IG50" s="230"/>
      <c r="IH50" s="230"/>
      <c r="II50" s="230"/>
      <c r="IJ50" s="230"/>
      <c r="IK50" s="230"/>
      <c r="IL50" s="230"/>
      <c r="IM50" s="230"/>
      <c r="IN50" s="230"/>
      <c r="IO50" s="230"/>
      <c r="IP50" s="230"/>
    </row>
    <row r="51" spans="1:250" s="73" customFormat="1">
      <c r="A51" s="432" t="s">
        <v>521</v>
      </c>
      <c r="B51" s="194">
        <f>959300/45797.5*B40*1.9</f>
        <v>27493.970546427208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230"/>
      <c r="FG51" s="230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0"/>
      <c r="GE51" s="230"/>
      <c r="GF51" s="230"/>
      <c r="GG51" s="230"/>
      <c r="GH51" s="230"/>
      <c r="GI51" s="230"/>
      <c r="GJ51" s="230"/>
      <c r="GK51" s="230"/>
      <c r="GL51" s="230"/>
      <c r="GM51" s="230"/>
      <c r="GN51" s="230"/>
      <c r="GO51" s="230"/>
      <c r="GP51" s="230"/>
      <c r="GQ51" s="230"/>
      <c r="GR51" s="230"/>
      <c r="GS51" s="230"/>
      <c r="GT51" s="230"/>
      <c r="GU51" s="230"/>
      <c r="GV51" s="230"/>
      <c r="GW51" s="230"/>
      <c r="GX51" s="230"/>
      <c r="GY51" s="230"/>
      <c r="GZ51" s="230"/>
      <c r="HA51" s="230"/>
      <c r="HB51" s="230"/>
      <c r="HC51" s="230"/>
      <c r="HD51" s="230"/>
      <c r="HE51" s="230"/>
      <c r="HF51" s="230"/>
      <c r="HG51" s="230"/>
      <c r="HH51" s="230"/>
      <c r="HI51" s="230"/>
      <c r="HJ51" s="230"/>
      <c r="HK51" s="230"/>
      <c r="HL51" s="230"/>
      <c r="HM51" s="230"/>
      <c r="HN51" s="230"/>
      <c r="HO51" s="230"/>
      <c r="HP51" s="230"/>
      <c r="HQ51" s="230"/>
      <c r="HR51" s="230"/>
      <c r="HS51" s="230"/>
      <c r="HT51" s="230"/>
      <c r="HU51" s="230"/>
      <c r="HV51" s="230"/>
      <c r="HW51" s="230"/>
      <c r="HX51" s="230"/>
      <c r="HY51" s="230"/>
      <c r="HZ51" s="230"/>
      <c r="IA51" s="230"/>
      <c r="IB51" s="230"/>
      <c r="IC51" s="230"/>
      <c r="ID51" s="230"/>
      <c r="IE51" s="230"/>
      <c r="IF51" s="230"/>
      <c r="IG51" s="230"/>
      <c r="IH51" s="230"/>
      <c r="II51" s="230"/>
      <c r="IJ51" s="230"/>
      <c r="IK51" s="230"/>
      <c r="IL51" s="230"/>
      <c r="IM51" s="230"/>
      <c r="IN51" s="230"/>
      <c r="IO51" s="230"/>
      <c r="IP51" s="230"/>
    </row>
    <row r="52" spans="1:250" s="73" customFormat="1">
      <c r="A52" s="432" t="s">
        <v>520</v>
      </c>
      <c r="B52" s="194">
        <f>0.89*B40*12*1.9</f>
        <v>14018.32236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230"/>
      <c r="FG52" s="230"/>
      <c r="FH52" s="230"/>
      <c r="FI52" s="230"/>
      <c r="FJ52" s="230"/>
      <c r="FK52" s="230"/>
      <c r="FL52" s="230"/>
      <c r="FM52" s="230"/>
      <c r="FN52" s="230"/>
      <c r="FO52" s="230"/>
      <c r="FP52" s="230"/>
      <c r="FQ52" s="230"/>
      <c r="FR52" s="230"/>
      <c r="FS52" s="230"/>
      <c r="FT52" s="230"/>
      <c r="FU52" s="230"/>
      <c r="FV52" s="230"/>
      <c r="FW52" s="230"/>
      <c r="FX52" s="230"/>
      <c r="FY52" s="230"/>
      <c r="FZ52" s="230"/>
      <c r="GA52" s="230"/>
      <c r="GB52" s="230"/>
      <c r="GC52" s="230"/>
      <c r="GD52" s="230"/>
      <c r="GE52" s="230"/>
      <c r="GF52" s="230"/>
      <c r="GG52" s="230"/>
      <c r="GH52" s="230"/>
      <c r="GI52" s="230"/>
      <c r="GJ52" s="230"/>
      <c r="GK52" s="230"/>
      <c r="GL52" s="230"/>
      <c r="GM52" s="230"/>
      <c r="GN52" s="230"/>
      <c r="GO52" s="230"/>
      <c r="GP52" s="230"/>
      <c r="GQ52" s="230"/>
      <c r="GR52" s="230"/>
      <c r="GS52" s="230"/>
      <c r="GT52" s="230"/>
      <c r="GU52" s="230"/>
      <c r="GV52" s="230"/>
      <c r="GW52" s="230"/>
      <c r="GX52" s="230"/>
      <c r="GY52" s="230"/>
      <c r="GZ52" s="230"/>
      <c r="HA52" s="230"/>
      <c r="HB52" s="230"/>
      <c r="HC52" s="230"/>
      <c r="HD52" s="230"/>
      <c r="HE52" s="230"/>
      <c r="HF52" s="230"/>
      <c r="HG52" s="230"/>
      <c r="HH52" s="230"/>
      <c r="HI52" s="230"/>
      <c r="HJ52" s="230"/>
      <c r="HK52" s="230"/>
      <c r="HL52" s="230"/>
      <c r="HM52" s="230"/>
      <c r="HN52" s="230"/>
      <c r="HO52" s="230"/>
      <c r="HP52" s="230"/>
      <c r="HQ52" s="230"/>
      <c r="HR52" s="230"/>
      <c r="HS52" s="230"/>
      <c r="HT52" s="230"/>
      <c r="HU52" s="230"/>
      <c r="HV52" s="230"/>
      <c r="HW52" s="230"/>
      <c r="HX52" s="230"/>
      <c r="HY52" s="230"/>
      <c r="HZ52" s="230"/>
      <c r="IA52" s="230"/>
      <c r="IB52" s="230"/>
      <c r="IC52" s="230"/>
      <c r="ID52" s="230"/>
      <c r="IE52" s="230"/>
      <c r="IF52" s="230"/>
      <c r="IG52" s="230"/>
      <c r="IH52" s="230"/>
      <c r="II52" s="230"/>
      <c r="IJ52" s="230"/>
      <c r="IK52" s="230"/>
      <c r="IL52" s="230"/>
      <c r="IM52" s="230"/>
      <c r="IN52" s="230"/>
      <c r="IO52" s="230"/>
      <c r="IP52" s="230"/>
    </row>
    <row r="53" spans="1:250" s="73" customFormat="1">
      <c r="A53" s="432" t="s">
        <v>987</v>
      </c>
      <c r="B53" s="194">
        <f>0.31*B40*12*1.9</f>
        <v>4882.7864399999999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230"/>
      <c r="FJ53" s="230"/>
      <c r="FK53" s="230"/>
      <c r="FL53" s="230"/>
      <c r="FM53" s="230"/>
      <c r="FN53" s="230"/>
      <c r="FO53" s="230"/>
      <c r="FP53" s="230"/>
      <c r="FQ53" s="230"/>
      <c r="FR53" s="230"/>
      <c r="FS53" s="230"/>
      <c r="FT53" s="230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  <c r="GJ53" s="230"/>
      <c r="GK53" s="230"/>
      <c r="GL53" s="230"/>
      <c r="GM53" s="230"/>
      <c r="GN53" s="230"/>
      <c r="GO53" s="230"/>
      <c r="GP53" s="230"/>
      <c r="GQ53" s="230"/>
      <c r="GR53" s="230"/>
      <c r="GS53" s="230"/>
      <c r="GT53" s="230"/>
      <c r="GU53" s="230"/>
      <c r="GV53" s="230"/>
      <c r="GW53" s="230"/>
      <c r="GX53" s="230"/>
      <c r="GY53" s="230"/>
      <c r="GZ53" s="230"/>
      <c r="HA53" s="230"/>
      <c r="HB53" s="230"/>
      <c r="HC53" s="230"/>
      <c r="HD53" s="230"/>
      <c r="HE53" s="230"/>
      <c r="HF53" s="230"/>
      <c r="HG53" s="230"/>
      <c r="HH53" s="230"/>
      <c r="HI53" s="230"/>
      <c r="HJ53" s="230"/>
      <c r="HK53" s="230"/>
      <c r="HL53" s="230"/>
      <c r="HM53" s="230"/>
      <c r="HN53" s="230"/>
      <c r="HO53" s="230"/>
      <c r="HP53" s="230"/>
      <c r="HQ53" s="230"/>
      <c r="HR53" s="230"/>
      <c r="HS53" s="230"/>
      <c r="HT53" s="230"/>
      <c r="HU53" s="230"/>
      <c r="HV53" s="230"/>
      <c r="HW53" s="230"/>
      <c r="HX53" s="230"/>
      <c r="HY53" s="230"/>
      <c r="HZ53" s="230"/>
      <c r="IA53" s="230"/>
      <c r="IB53" s="230"/>
      <c r="IC53" s="230"/>
      <c r="ID53" s="230"/>
      <c r="IE53" s="230"/>
      <c r="IF53" s="230"/>
      <c r="IG53" s="230"/>
      <c r="IH53" s="230"/>
      <c r="II53" s="230"/>
      <c r="IJ53" s="230"/>
      <c r="IK53" s="230"/>
      <c r="IL53" s="230"/>
      <c r="IM53" s="230"/>
      <c r="IN53" s="230"/>
      <c r="IO53" s="230"/>
      <c r="IP53" s="230"/>
    </row>
    <row r="54" spans="1:250" s="73" customFormat="1">
      <c r="A54" s="432" t="s">
        <v>908</v>
      </c>
      <c r="B54" s="194">
        <v>0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  <c r="FH54" s="230"/>
      <c r="FI54" s="230"/>
      <c r="FJ54" s="230"/>
      <c r="FK54" s="230"/>
      <c r="FL54" s="230"/>
      <c r="FM54" s="230"/>
      <c r="FN54" s="230"/>
      <c r="FO54" s="230"/>
      <c r="FP54" s="230"/>
      <c r="FQ54" s="230"/>
      <c r="FR54" s="230"/>
      <c r="FS54" s="230"/>
      <c r="FT54" s="230"/>
      <c r="FU54" s="230"/>
      <c r="FV54" s="230"/>
      <c r="FW54" s="230"/>
      <c r="FX54" s="230"/>
      <c r="FY54" s="230"/>
      <c r="FZ54" s="230"/>
      <c r="GA54" s="230"/>
      <c r="GB54" s="230"/>
      <c r="GC54" s="230"/>
      <c r="GD54" s="230"/>
      <c r="GE54" s="230"/>
      <c r="GF54" s="230"/>
      <c r="GG54" s="230"/>
      <c r="GH54" s="230"/>
      <c r="GI54" s="230"/>
      <c r="GJ54" s="230"/>
      <c r="GK54" s="230"/>
      <c r="GL54" s="230"/>
      <c r="GM54" s="230"/>
      <c r="GN54" s="230"/>
      <c r="GO54" s="230"/>
      <c r="GP54" s="230"/>
      <c r="GQ54" s="230"/>
      <c r="GR54" s="230"/>
      <c r="GS54" s="230"/>
      <c r="GT54" s="230"/>
      <c r="GU54" s="230"/>
      <c r="GV54" s="230"/>
      <c r="GW54" s="230"/>
      <c r="GX54" s="230"/>
      <c r="GY54" s="230"/>
      <c r="GZ54" s="230"/>
      <c r="HA54" s="230"/>
      <c r="HB54" s="230"/>
      <c r="HC54" s="230"/>
      <c r="HD54" s="230"/>
      <c r="HE54" s="230"/>
      <c r="HF54" s="230"/>
      <c r="HG54" s="230"/>
      <c r="HH54" s="230"/>
      <c r="HI54" s="230"/>
      <c r="HJ54" s="230"/>
      <c r="HK54" s="230"/>
      <c r="HL54" s="230"/>
      <c r="HM54" s="230"/>
      <c r="HN54" s="230"/>
      <c r="HO54" s="230"/>
      <c r="HP54" s="230"/>
      <c r="HQ54" s="230"/>
      <c r="HR54" s="230"/>
      <c r="HS54" s="230"/>
      <c r="HT54" s="230"/>
      <c r="HU54" s="230"/>
      <c r="HV54" s="230"/>
      <c r="HW54" s="230"/>
      <c r="HX54" s="230"/>
      <c r="HY54" s="230"/>
      <c r="HZ54" s="230"/>
      <c r="IA54" s="230"/>
      <c r="IB54" s="230"/>
      <c r="IC54" s="230"/>
      <c r="ID54" s="230"/>
      <c r="IE54" s="230"/>
      <c r="IF54" s="230"/>
      <c r="IG54" s="230"/>
      <c r="IH54" s="230"/>
      <c r="II54" s="230"/>
      <c r="IJ54" s="230"/>
      <c r="IK54" s="230"/>
      <c r="IL54" s="230"/>
      <c r="IM54" s="230"/>
      <c r="IN54" s="230"/>
      <c r="IO54" s="230"/>
      <c r="IP54" s="230"/>
    </row>
    <row r="55" spans="1:250" s="73" customFormat="1">
      <c r="A55" s="650" t="s">
        <v>1580</v>
      </c>
      <c r="B55" s="194">
        <v>0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0"/>
      <c r="FF55" s="230"/>
      <c r="FG55" s="230"/>
      <c r="FH55" s="230"/>
      <c r="FI55" s="230"/>
      <c r="FJ55" s="230"/>
      <c r="FK55" s="230"/>
      <c r="FL55" s="230"/>
      <c r="FM55" s="230"/>
      <c r="FN55" s="230"/>
      <c r="FO55" s="230"/>
      <c r="FP55" s="230"/>
      <c r="FQ55" s="230"/>
      <c r="FR55" s="230"/>
      <c r="FS55" s="230"/>
      <c r="FT55" s="230"/>
      <c r="FU55" s="230"/>
      <c r="FV55" s="230"/>
      <c r="FW55" s="230"/>
      <c r="FX55" s="230"/>
      <c r="FY55" s="230"/>
      <c r="FZ55" s="230"/>
      <c r="GA55" s="230"/>
      <c r="GB55" s="230"/>
      <c r="GC55" s="230"/>
      <c r="GD55" s="230"/>
      <c r="GE55" s="230"/>
      <c r="GF55" s="230"/>
      <c r="GG55" s="230"/>
      <c r="GH55" s="230"/>
      <c r="GI55" s="230"/>
      <c r="GJ55" s="230"/>
      <c r="GK55" s="230"/>
      <c r="GL55" s="230"/>
      <c r="GM55" s="230"/>
      <c r="GN55" s="230"/>
      <c r="GO55" s="230"/>
      <c r="GP55" s="230"/>
      <c r="GQ55" s="230"/>
      <c r="GR55" s="230"/>
      <c r="GS55" s="230"/>
      <c r="GT55" s="230"/>
      <c r="GU55" s="230"/>
      <c r="GV55" s="230"/>
      <c r="GW55" s="230"/>
      <c r="GX55" s="230"/>
      <c r="GY55" s="230"/>
      <c r="GZ55" s="230"/>
      <c r="HA55" s="230"/>
      <c r="HB55" s="230"/>
      <c r="HC55" s="230"/>
      <c r="HD55" s="230"/>
      <c r="HE55" s="230"/>
      <c r="HF55" s="230"/>
      <c r="HG55" s="230"/>
      <c r="HH55" s="230"/>
      <c r="HI55" s="230"/>
      <c r="HJ55" s="230"/>
      <c r="HK55" s="230"/>
      <c r="HL55" s="230"/>
      <c r="HM55" s="230"/>
      <c r="HN55" s="230"/>
      <c r="HO55" s="230"/>
      <c r="HP55" s="230"/>
      <c r="HQ55" s="230"/>
      <c r="HR55" s="230"/>
      <c r="HS55" s="230"/>
      <c r="HT55" s="230"/>
      <c r="HU55" s="230"/>
      <c r="HV55" s="230"/>
      <c r="HW55" s="230"/>
      <c r="HX55" s="230"/>
      <c r="HY55" s="230"/>
      <c r="HZ55" s="230"/>
      <c r="IA55" s="230"/>
      <c r="IB55" s="230"/>
      <c r="IC55" s="230"/>
      <c r="ID55" s="230"/>
      <c r="IE55" s="230"/>
      <c r="IF55" s="230"/>
      <c r="IG55" s="230"/>
      <c r="IH55" s="230"/>
      <c r="II55" s="230"/>
      <c r="IJ55" s="230"/>
      <c r="IK55" s="230"/>
      <c r="IL55" s="230"/>
      <c r="IM55" s="230"/>
      <c r="IN55" s="230"/>
      <c r="IO55" s="230"/>
      <c r="IP55" s="230"/>
    </row>
    <row r="56" spans="1:250" s="73" customFormat="1">
      <c r="A56" s="432" t="s">
        <v>600</v>
      </c>
      <c r="B56" s="194">
        <f>20*70*1.9</f>
        <v>2660</v>
      </c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0"/>
      <c r="DX56" s="230"/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230"/>
      <c r="EZ56" s="230"/>
      <c r="FA56" s="230"/>
      <c r="FB56" s="230"/>
      <c r="FC56" s="230"/>
      <c r="FD56" s="230"/>
      <c r="FE56" s="230"/>
      <c r="FF56" s="230"/>
      <c r="FG56" s="230"/>
      <c r="FH56" s="230"/>
      <c r="FI56" s="230"/>
      <c r="FJ56" s="230"/>
      <c r="FK56" s="230"/>
      <c r="FL56" s="230"/>
      <c r="FM56" s="230"/>
      <c r="FN56" s="230"/>
      <c r="FO56" s="230"/>
      <c r="FP56" s="230"/>
      <c r="FQ56" s="230"/>
      <c r="FR56" s="230"/>
      <c r="FS56" s="230"/>
      <c r="FT56" s="230"/>
      <c r="FU56" s="230"/>
      <c r="FV56" s="230"/>
      <c r="FW56" s="230"/>
      <c r="FX56" s="230"/>
      <c r="FY56" s="230"/>
      <c r="FZ56" s="230"/>
      <c r="GA56" s="230"/>
      <c r="GB56" s="230"/>
      <c r="GC56" s="230"/>
      <c r="GD56" s="230"/>
      <c r="GE56" s="230"/>
      <c r="GF56" s="230"/>
      <c r="GG56" s="230"/>
      <c r="GH56" s="230"/>
      <c r="GI56" s="230"/>
      <c r="GJ56" s="230"/>
      <c r="GK56" s="230"/>
      <c r="GL56" s="230"/>
      <c r="GM56" s="230"/>
      <c r="GN56" s="230"/>
      <c r="GO56" s="230"/>
      <c r="GP56" s="230"/>
      <c r="GQ56" s="230"/>
      <c r="GR56" s="230"/>
      <c r="GS56" s="230"/>
      <c r="GT56" s="230"/>
      <c r="GU56" s="230"/>
      <c r="GV56" s="230"/>
      <c r="GW56" s="230"/>
      <c r="GX56" s="230"/>
      <c r="GY56" s="230"/>
      <c r="GZ56" s="230"/>
      <c r="HA56" s="230"/>
      <c r="HB56" s="230"/>
      <c r="HC56" s="230"/>
      <c r="HD56" s="230"/>
      <c r="HE56" s="230"/>
      <c r="HF56" s="230"/>
      <c r="HG56" s="230"/>
      <c r="HH56" s="230"/>
      <c r="HI56" s="230"/>
      <c r="HJ56" s="230"/>
      <c r="HK56" s="230"/>
      <c r="HL56" s="230"/>
      <c r="HM56" s="230"/>
      <c r="HN56" s="230"/>
      <c r="HO56" s="230"/>
      <c r="HP56" s="230"/>
      <c r="HQ56" s="230"/>
      <c r="HR56" s="230"/>
      <c r="HS56" s="230"/>
      <c r="HT56" s="230"/>
      <c r="HU56" s="230"/>
      <c r="HV56" s="230"/>
      <c r="HW56" s="230"/>
      <c r="HX56" s="230"/>
      <c r="HY56" s="230"/>
      <c r="HZ56" s="230"/>
      <c r="IA56" s="230"/>
      <c r="IB56" s="230"/>
      <c r="IC56" s="230"/>
      <c r="ID56" s="230"/>
      <c r="IE56" s="230"/>
      <c r="IF56" s="230"/>
      <c r="IG56" s="230"/>
      <c r="IH56" s="230"/>
      <c r="II56" s="230"/>
      <c r="IJ56" s="230"/>
      <c r="IK56" s="230"/>
      <c r="IL56" s="230"/>
      <c r="IM56" s="230"/>
      <c r="IN56" s="230"/>
      <c r="IO56" s="230"/>
      <c r="IP56" s="230"/>
    </row>
    <row r="57" spans="1:250" s="73" customFormat="1">
      <c r="A57" s="432" t="s">
        <v>611</v>
      </c>
      <c r="B57" s="194">
        <f>0.01*9100*12*1.302*1.9</f>
        <v>2701.3896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0"/>
      <c r="EM57" s="230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230"/>
      <c r="EZ57" s="230"/>
      <c r="FA57" s="230"/>
      <c r="FB57" s="230"/>
      <c r="FC57" s="230"/>
      <c r="FD57" s="230"/>
      <c r="FE57" s="230"/>
      <c r="FF57" s="230"/>
      <c r="FG57" s="230"/>
      <c r="FH57" s="230"/>
      <c r="FI57" s="230"/>
      <c r="FJ57" s="230"/>
      <c r="FK57" s="230"/>
      <c r="FL57" s="230"/>
      <c r="FM57" s="230"/>
      <c r="FN57" s="230"/>
      <c r="FO57" s="230"/>
      <c r="FP57" s="230"/>
      <c r="FQ57" s="230"/>
      <c r="FR57" s="230"/>
      <c r="FS57" s="230"/>
      <c r="FT57" s="230"/>
      <c r="FU57" s="230"/>
      <c r="FV57" s="230"/>
      <c r="FW57" s="230"/>
      <c r="FX57" s="230"/>
      <c r="FY57" s="230"/>
      <c r="FZ57" s="230"/>
      <c r="GA57" s="230"/>
      <c r="GB57" s="230"/>
      <c r="GC57" s="230"/>
      <c r="GD57" s="230"/>
      <c r="GE57" s="230"/>
      <c r="GF57" s="230"/>
      <c r="GG57" s="230"/>
      <c r="GH57" s="230"/>
      <c r="GI57" s="230"/>
      <c r="GJ57" s="230"/>
      <c r="GK57" s="230"/>
      <c r="GL57" s="230"/>
      <c r="GM57" s="230"/>
      <c r="GN57" s="230"/>
      <c r="GO57" s="230"/>
      <c r="GP57" s="230"/>
      <c r="GQ57" s="230"/>
      <c r="GR57" s="230"/>
      <c r="GS57" s="230"/>
      <c r="GT57" s="230"/>
      <c r="GU57" s="230"/>
      <c r="GV57" s="230"/>
      <c r="GW57" s="230"/>
      <c r="GX57" s="230"/>
      <c r="GY57" s="230"/>
      <c r="GZ57" s="230"/>
      <c r="HA57" s="230"/>
      <c r="HB57" s="230"/>
      <c r="HC57" s="230"/>
      <c r="HD57" s="230"/>
      <c r="HE57" s="230"/>
      <c r="HF57" s="230"/>
      <c r="HG57" s="230"/>
      <c r="HH57" s="230"/>
      <c r="HI57" s="230"/>
      <c r="HJ57" s="230"/>
      <c r="HK57" s="230"/>
      <c r="HL57" s="230"/>
      <c r="HM57" s="230"/>
      <c r="HN57" s="230"/>
      <c r="HO57" s="230"/>
      <c r="HP57" s="230"/>
      <c r="HQ57" s="230"/>
      <c r="HR57" s="230"/>
      <c r="HS57" s="230"/>
      <c r="HT57" s="230"/>
      <c r="HU57" s="230"/>
      <c r="HV57" s="230"/>
      <c r="HW57" s="230"/>
      <c r="HX57" s="230"/>
      <c r="HY57" s="230"/>
      <c r="HZ57" s="230"/>
      <c r="IA57" s="230"/>
      <c r="IB57" s="230"/>
      <c r="IC57" s="230"/>
      <c r="ID57" s="230"/>
      <c r="IE57" s="230"/>
      <c r="IF57" s="230"/>
      <c r="IG57" s="230"/>
      <c r="IH57" s="230"/>
      <c r="II57" s="230"/>
      <c r="IJ57" s="230"/>
      <c r="IK57" s="230"/>
      <c r="IL57" s="230"/>
      <c r="IM57" s="230"/>
      <c r="IN57" s="230"/>
      <c r="IO57" s="230"/>
      <c r="IP57" s="230"/>
    </row>
    <row r="58" spans="1:250" s="73" customFormat="1">
      <c r="A58" s="432" t="s">
        <v>602</v>
      </c>
      <c r="B58" s="194">
        <f>B36</f>
        <v>68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0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0"/>
      <c r="ET58" s="230"/>
      <c r="EU58" s="230"/>
      <c r="EV58" s="230"/>
      <c r="EW58" s="230"/>
      <c r="EX58" s="230"/>
      <c r="EY58" s="230"/>
      <c r="EZ58" s="230"/>
      <c r="FA58" s="230"/>
      <c r="FB58" s="230"/>
      <c r="FC58" s="230"/>
      <c r="FD58" s="230"/>
      <c r="FE58" s="230"/>
      <c r="FF58" s="230"/>
      <c r="FG58" s="230"/>
      <c r="FH58" s="230"/>
      <c r="FI58" s="230"/>
      <c r="FJ58" s="230"/>
      <c r="FK58" s="230"/>
      <c r="FL58" s="230"/>
      <c r="FM58" s="230"/>
      <c r="FN58" s="230"/>
      <c r="FO58" s="230"/>
      <c r="FP58" s="230"/>
      <c r="FQ58" s="230"/>
      <c r="FR58" s="230"/>
      <c r="FS58" s="230"/>
      <c r="FT58" s="230"/>
      <c r="FU58" s="230"/>
      <c r="FV58" s="230"/>
      <c r="FW58" s="230"/>
      <c r="FX58" s="230"/>
      <c r="FY58" s="230"/>
      <c r="FZ58" s="230"/>
      <c r="GA58" s="230"/>
      <c r="GB58" s="230"/>
      <c r="GC58" s="230"/>
      <c r="GD58" s="230"/>
      <c r="GE58" s="230"/>
      <c r="GF58" s="230"/>
      <c r="GG58" s="230"/>
      <c r="GH58" s="230"/>
      <c r="GI58" s="230"/>
      <c r="GJ58" s="230"/>
      <c r="GK58" s="230"/>
      <c r="GL58" s="230"/>
      <c r="GM58" s="230"/>
      <c r="GN58" s="230"/>
      <c r="GO58" s="230"/>
      <c r="GP58" s="230"/>
      <c r="GQ58" s="230"/>
      <c r="GR58" s="230"/>
      <c r="GS58" s="230"/>
      <c r="GT58" s="230"/>
      <c r="GU58" s="230"/>
      <c r="GV58" s="230"/>
      <c r="GW58" s="230"/>
      <c r="GX58" s="230"/>
      <c r="GY58" s="230"/>
      <c r="GZ58" s="230"/>
      <c r="HA58" s="230"/>
      <c r="HB58" s="230"/>
      <c r="HC58" s="230"/>
      <c r="HD58" s="230"/>
      <c r="HE58" s="230"/>
      <c r="HF58" s="230"/>
      <c r="HG58" s="230"/>
      <c r="HH58" s="230"/>
      <c r="HI58" s="230"/>
      <c r="HJ58" s="230"/>
      <c r="HK58" s="230"/>
      <c r="HL58" s="230"/>
      <c r="HM58" s="230"/>
      <c r="HN58" s="230"/>
      <c r="HO58" s="230"/>
      <c r="HP58" s="230"/>
      <c r="HQ58" s="230"/>
      <c r="HR58" s="230"/>
      <c r="HS58" s="230"/>
      <c r="HT58" s="230"/>
      <c r="HU58" s="230"/>
      <c r="HV58" s="230"/>
      <c r="HW58" s="230"/>
      <c r="HX58" s="230"/>
      <c r="HY58" s="230"/>
      <c r="HZ58" s="230"/>
      <c r="IA58" s="230"/>
      <c r="IB58" s="230"/>
      <c r="IC58" s="230"/>
      <c r="ID58" s="230"/>
      <c r="IE58" s="230"/>
      <c r="IF58" s="230"/>
      <c r="IG58" s="230"/>
      <c r="IH58" s="230"/>
      <c r="II58" s="230"/>
      <c r="IJ58" s="230"/>
      <c r="IK58" s="230"/>
      <c r="IL58" s="230"/>
      <c r="IM58" s="230"/>
      <c r="IN58" s="230"/>
      <c r="IO58" s="230"/>
      <c r="IP58" s="230"/>
    </row>
    <row r="59" spans="1:250" s="73" customFormat="1">
      <c r="A59" s="432" t="s">
        <v>603</v>
      </c>
      <c r="B59" s="194">
        <f>B58*110*1.302*1.9</f>
        <v>18504.024000000001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  <c r="DT59" s="230"/>
      <c r="DU59" s="230"/>
      <c r="DV59" s="230"/>
      <c r="DW59" s="230"/>
      <c r="DX59" s="230"/>
      <c r="DY59" s="230"/>
      <c r="DZ59" s="230"/>
      <c r="EA59" s="230"/>
      <c r="EB59" s="230"/>
      <c r="EC59" s="230"/>
      <c r="ED59" s="230"/>
      <c r="EE59" s="230"/>
      <c r="EF59" s="230"/>
      <c r="EG59" s="230"/>
      <c r="EH59" s="230"/>
      <c r="EI59" s="230"/>
      <c r="EJ59" s="230"/>
      <c r="EK59" s="230"/>
      <c r="EL59" s="230"/>
      <c r="EM59" s="230"/>
      <c r="EN59" s="230"/>
      <c r="EO59" s="230"/>
      <c r="EP59" s="230"/>
      <c r="EQ59" s="230"/>
      <c r="ER59" s="230"/>
      <c r="ES59" s="230"/>
      <c r="ET59" s="230"/>
      <c r="EU59" s="230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230"/>
      <c r="FO59" s="230"/>
      <c r="FP59" s="230"/>
      <c r="FQ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0"/>
      <c r="GD59" s="230"/>
      <c r="GE59" s="230"/>
      <c r="GF59" s="230"/>
      <c r="GG59" s="230"/>
      <c r="GH59" s="230"/>
      <c r="GI59" s="230"/>
      <c r="GJ59" s="230"/>
      <c r="GK59" s="230"/>
      <c r="GL59" s="230"/>
      <c r="GM59" s="230"/>
      <c r="GN59" s="230"/>
      <c r="GO59" s="230"/>
      <c r="GP59" s="230"/>
      <c r="GQ59" s="230"/>
      <c r="GR59" s="230"/>
      <c r="GS59" s="230"/>
      <c r="GT59" s="230"/>
      <c r="GU59" s="230"/>
      <c r="GV59" s="230"/>
      <c r="GW59" s="230"/>
      <c r="GX59" s="230"/>
      <c r="GY59" s="230"/>
      <c r="GZ59" s="230"/>
      <c r="HA59" s="230"/>
      <c r="HB59" s="230"/>
      <c r="HC59" s="230"/>
      <c r="HD59" s="230"/>
      <c r="HE59" s="230"/>
      <c r="HF59" s="230"/>
      <c r="HG59" s="230"/>
      <c r="HH59" s="230"/>
      <c r="HI59" s="230"/>
      <c r="HJ59" s="230"/>
      <c r="HK59" s="230"/>
      <c r="HL59" s="230"/>
      <c r="HM59" s="230"/>
      <c r="HN59" s="230"/>
      <c r="HO59" s="230"/>
      <c r="HP59" s="230"/>
      <c r="HQ59" s="230"/>
      <c r="HR59" s="230"/>
      <c r="HS59" s="230"/>
      <c r="HT59" s="230"/>
      <c r="HU59" s="230"/>
      <c r="HV59" s="230"/>
      <c r="HW59" s="230"/>
      <c r="HX59" s="230"/>
      <c r="HY59" s="230"/>
      <c r="HZ59" s="230"/>
      <c r="IA59" s="230"/>
      <c r="IB59" s="230"/>
      <c r="IC59" s="230"/>
      <c r="ID59" s="230"/>
      <c r="IE59" s="230"/>
      <c r="IF59" s="230"/>
      <c r="IG59" s="230"/>
      <c r="IH59" s="230"/>
      <c r="II59" s="230"/>
      <c r="IJ59" s="230"/>
      <c r="IK59" s="230"/>
      <c r="IL59" s="230"/>
      <c r="IM59" s="230"/>
      <c r="IN59" s="230"/>
      <c r="IO59" s="230"/>
      <c r="IP59" s="230"/>
    </row>
    <row r="60" spans="1:250" s="73" customFormat="1">
      <c r="A60" s="432" t="s">
        <v>1127</v>
      </c>
      <c r="B60" s="194">
        <f>8480.4*1.9</f>
        <v>16112.759999999998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  <c r="FF60" s="230"/>
      <c r="FG60" s="230"/>
      <c r="FH60" s="230"/>
      <c r="FI60" s="230"/>
      <c r="FJ60" s="230"/>
      <c r="FK60" s="230"/>
      <c r="FL60" s="230"/>
      <c r="FM60" s="230"/>
      <c r="FN60" s="230"/>
      <c r="FO60" s="230"/>
      <c r="FP60" s="230"/>
      <c r="FQ60" s="230"/>
      <c r="FR60" s="230"/>
      <c r="FS60" s="230"/>
      <c r="FT60" s="230"/>
      <c r="FU60" s="230"/>
      <c r="FV60" s="230"/>
      <c r="FW60" s="230"/>
      <c r="FX60" s="230"/>
      <c r="FY60" s="230"/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230"/>
      <c r="GK60" s="230"/>
      <c r="GL60" s="230"/>
      <c r="GM60" s="230"/>
      <c r="GN60" s="230"/>
      <c r="GO60" s="230"/>
      <c r="GP60" s="230"/>
      <c r="GQ60" s="230"/>
      <c r="GR60" s="230"/>
      <c r="GS60" s="230"/>
      <c r="GT60" s="230"/>
      <c r="GU60" s="230"/>
      <c r="GV60" s="230"/>
      <c r="GW60" s="230"/>
      <c r="GX60" s="230"/>
      <c r="GY60" s="230"/>
      <c r="GZ60" s="230"/>
      <c r="HA60" s="230"/>
      <c r="HB60" s="230"/>
      <c r="HC60" s="230"/>
      <c r="HD60" s="230"/>
      <c r="HE60" s="230"/>
      <c r="HF60" s="230"/>
      <c r="HG60" s="230"/>
      <c r="HH60" s="230"/>
      <c r="HI60" s="230"/>
      <c r="HJ60" s="230"/>
      <c r="HK60" s="230"/>
      <c r="HL60" s="230"/>
      <c r="HM60" s="230"/>
      <c r="HN60" s="230"/>
      <c r="HO60" s="230"/>
      <c r="HP60" s="230"/>
      <c r="HQ60" s="230"/>
      <c r="HR60" s="230"/>
      <c r="HS60" s="230"/>
      <c r="HT60" s="230"/>
      <c r="HU60" s="230"/>
      <c r="HV60" s="230"/>
      <c r="HW60" s="230"/>
      <c r="HX60" s="230"/>
      <c r="HY60" s="230"/>
      <c r="HZ60" s="230"/>
      <c r="IA60" s="230"/>
      <c r="IB60" s="230"/>
      <c r="IC60" s="230"/>
      <c r="ID60" s="230"/>
      <c r="IE60" s="230"/>
      <c r="IF60" s="230"/>
      <c r="IG60" s="230"/>
      <c r="IH60" s="230"/>
      <c r="II60" s="230"/>
      <c r="IJ60" s="230"/>
      <c r="IK60" s="230"/>
      <c r="IL60" s="230"/>
      <c r="IM60" s="230"/>
      <c r="IN60" s="230"/>
      <c r="IO60" s="230"/>
      <c r="IP60" s="230"/>
    </row>
    <row r="61" spans="1:250" s="73" customFormat="1">
      <c r="A61" s="432" t="s">
        <v>1128</v>
      </c>
      <c r="B61" s="194">
        <v>0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0"/>
      <c r="DX61" s="230"/>
      <c r="DY61" s="230"/>
      <c r="DZ61" s="230"/>
      <c r="EA61" s="230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0"/>
      <c r="EP61" s="230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0"/>
      <c r="FF61" s="230"/>
      <c r="FG61" s="230"/>
      <c r="FH61" s="230"/>
      <c r="FI61" s="230"/>
      <c r="FJ61" s="230"/>
      <c r="FK61" s="230"/>
      <c r="FL61" s="230"/>
      <c r="FM61" s="230"/>
      <c r="FN61" s="230"/>
      <c r="FO61" s="230"/>
      <c r="FP61" s="230"/>
      <c r="FQ61" s="230"/>
      <c r="FR61" s="230"/>
      <c r="FS61" s="230"/>
      <c r="FT61" s="230"/>
      <c r="FU61" s="230"/>
      <c r="FV61" s="230"/>
      <c r="FW61" s="230"/>
      <c r="FX61" s="230"/>
      <c r="FY61" s="230"/>
      <c r="FZ61" s="230"/>
      <c r="GA61" s="230"/>
      <c r="GB61" s="230"/>
      <c r="GC61" s="230"/>
      <c r="GD61" s="230"/>
      <c r="GE61" s="230"/>
      <c r="GF61" s="230"/>
      <c r="GG61" s="230"/>
      <c r="GH61" s="230"/>
      <c r="GI61" s="230"/>
      <c r="GJ61" s="230"/>
      <c r="GK61" s="230"/>
      <c r="GL61" s="230"/>
      <c r="GM61" s="230"/>
      <c r="GN61" s="230"/>
      <c r="GO61" s="230"/>
      <c r="GP61" s="230"/>
      <c r="GQ61" s="230"/>
      <c r="GR61" s="230"/>
      <c r="GS61" s="230"/>
      <c r="GT61" s="230"/>
      <c r="GU61" s="230"/>
      <c r="GV61" s="230"/>
      <c r="GW61" s="230"/>
      <c r="GX61" s="230"/>
      <c r="GY61" s="230"/>
      <c r="GZ61" s="230"/>
      <c r="HA61" s="230"/>
      <c r="HB61" s="230"/>
      <c r="HC61" s="230"/>
      <c r="HD61" s="230"/>
      <c r="HE61" s="230"/>
      <c r="HF61" s="230"/>
      <c r="HG61" s="230"/>
      <c r="HH61" s="230"/>
      <c r="HI61" s="230"/>
      <c r="HJ61" s="230"/>
      <c r="HK61" s="230"/>
      <c r="HL61" s="230"/>
      <c r="HM61" s="230"/>
      <c r="HN61" s="230"/>
      <c r="HO61" s="230"/>
      <c r="HP61" s="230"/>
      <c r="HQ61" s="230"/>
      <c r="HR61" s="230"/>
      <c r="HS61" s="230"/>
      <c r="HT61" s="230"/>
      <c r="HU61" s="230"/>
      <c r="HV61" s="230"/>
      <c r="HW61" s="230"/>
      <c r="HX61" s="230"/>
      <c r="HY61" s="230"/>
      <c r="HZ61" s="230"/>
      <c r="IA61" s="230"/>
      <c r="IB61" s="230"/>
      <c r="IC61" s="230"/>
      <c r="ID61" s="230"/>
      <c r="IE61" s="230"/>
      <c r="IF61" s="230"/>
      <c r="IG61" s="230"/>
      <c r="IH61" s="230"/>
      <c r="II61" s="230"/>
      <c r="IJ61" s="230"/>
      <c r="IK61" s="230"/>
      <c r="IL61" s="230"/>
      <c r="IM61" s="230"/>
      <c r="IN61" s="230"/>
      <c r="IO61" s="230"/>
      <c r="IP61" s="230"/>
    </row>
    <row r="62" spans="1:250" s="73" customFormat="1">
      <c r="A62" s="432" t="s">
        <v>724</v>
      </c>
      <c r="B62" s="194">
        <f>933.2*1.9</f>
        <v>1773.08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0"/>
      <c r="FF62" s="230"/>
      <c r="FG62" s="230"/>
      <c r="FH62" s="230"/>
      <c r="FI62" s="230"/>
      <c r="FJ62" s="230"/>
      <c r="FK62" s="230"/>
      <c r="FL62" s="230"/>
      <c r="FM62" s="230"/>
      <c r="FN62" s="230"/>
      <c r="FO62" s="230"/>
      <c r="FP62" s="230"/>
      <c r="FQ62" s="230"/>
      <c r="FR62" s="230"/>
      <c r="FS62" s="230"/>
      <c r="FT62" s="230"/>
      <c r="FU62" s="230"/>
      <c r="FV62" s="230"/>
      <c r="FW62" s="230"/>
      <c r="FX62" s="230"/>
      <c r="FY62" s="230"/>
      <c r="FZ62" s="230"/>
      <c r="GA62" s="230"/>
      <c r="GB62" s="230"/>
      <c r="GC62" s="230"/>
      <c r="GD62" s="230"/>
      <c r="GE62" s="230"/>
      <c r="GF62" s="230"/>
      <c r="GG62" s="230"/>
      <c r="GH62" s="230"/>
      <c r="GI62" s="230"/>
      <c r="GJ62" s="230"/>
      <c r="GK62" s="230"/>
      <c r="GL62" s="230"/>
      <c r="GM62" s="230"/>
      <c r="GN62" s="230"/>
      <c r="GO62" s="230"/>
      <c r="GP62" s="230"/>
      <c r="GQ62" s="230"/>
      <c r="GR62" s="230"/>
      <c r="GS62" s="230"/>
      <c r="GT62" s="230"/>
      <c r="GU62" s="230"/>
      <c r="GV62" s="230"/>
      <c r="GW62" s="230"/>
      <c r="GX62" s="230"/>
      <c r="GY62" s="230"/>
      <c r="GZ62" s="230"/>
      <c r="HA62" s="230"/>
      <c r="HB62" s="230"/>
      <c r="HC62" s="230"/>
      <c r="HD62" s="230"/>
      <c r="HE62" s="230"/>
      <c r="HF62" s="230"/>
      <c r="HG62" s="230"/>
      <c r="HH62" s="230"/>
      <c r="HI62" s="230"/>
      <c r="HJ62" s="230"/>
      <c r="HK62" s="230"/>
      <c r="HL62" s="230"/>
      <c r="HM62" s="230"/>
      <c r="HN62" s="230"/>
      <c r="HO62" s="230"/>
      <c r="HP62" s="230"/>
      <c r="HQ62" s="230"/>
      <c r="HR62" s="230"/>
      <c r="HS62" s="230"/>
      <c r="HT62" s="230"/>
      <c r="HU62" s="230"/>
      <c r="HV62" s="230"/>
      <c r="HW62" s="230"/>
      <c r="HX62" s="230"/>
      <c r="HY62" s="230"/>
      <c r="HZ62" s="230"/>
      <c r="IA62" s="230"/>
      <c r="IB62" s="230"/>
      <c r="IC62" s="230"/>
      <c r="ID62" s="230"/>
      <c r="IE62" s="230"/>
      <c r="IF62" s="230"/>
      <c r="IG62" s="230"/>
      <c r="IH62" s="230"/>
      <c r="II62" s="230"/>
      <c r="IJ62" s="230"/>
      <c r="IK62" s="230"/>
      <c r="IL62" s="230"/>
      <c r="IM62" s="230"/>
      <c r="IN62" s="230"/>
      <c r="IO62" s="230"/>
      <c r="IP62" s="230"/>
    </row>
    <row r="63" spans="1:250" s="73" customFormat="1">
      <c r="A63" s="432" t="s">
        <v>1583</v>
      </c>
      <c r="B63" s="194">
        <f>B47-B49</f>
        <v>22494.637053572791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  <c r="GJ63" s="230"/>
      <c r="GK63" s="230"/>
      <c r="GL63" s="230"/>
      <c r="GM63" s="230"/>
      <c r="GN63" s="230"/>
      <c r="GO63" s="230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30"/>
      <c r="HA63" s="230"/>
      <c r="HB63" s="230"/>
      <c r="HC63" s="230"/>
      <c r="HD63" s="230"/>
      <c r="HE63" s="230"/>
      <c r="HF63" s="230"/>
      <c r="HG63" s="230"/>
      <c r="HH63" s="230"/>
      <c r="HI63" s="230"/>
      <c r="HJ63" s="230"/>
      <c r="HK63" s="230"/>
      <c r="HL63" s="230"/>
      <c r="HM63" s="230"/>
      <c r="HN63" s="230"/>
      <c r="HO63" s="230"/>
      <c r="HP63" s="230"/>
      <c r="HQ63" s="230"/>
      <c r="HR63" s="230"/>
      <c r="HS63" s="230"/>
      <c r="HT63" s="230"/>
      <c r="HU63" s="230"/>
      <c r="HV63" s="230"/>
      <c r="HW63" s="230"/>
      <c r="HX63" s="230"/>
      <c r="HY63" s="230"/>
      <c r="HZ63" s="230"/>
      <c r="IA63" s="230"/>
      <c r="IB63" s="230"/>
      <c r="IC63" s="230"/>
      <c r="ID63" s="230"/>
      <c r="IE63" s="230"/>
      <c r="IF63" s="230"/>
      <c r="IG63" s="230"/>
      <c r="IH63" s="230"/>
      <c r="II63" s="230"/>
      <c r="IJ63" s="230"/>
      <c r="IK63" s="230"/>
      <c r="IL63" s="230"/>
      <c r="IM63" s="230"/>
      <c r="IN63" s="230"/>
      <c r="IO63" s="230"/>
      <c r="IP63" s="230"/>
    </row>
    <row r="64" spans="1:250" s="73" customFormat="1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</row>
    <row r="65" spans="1:250" s="73" customFormat="1">
      <c r="A65" s="458" t="s">
        <v>605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230"/>
      <c r="DA65" s="230"/>
      <c r="DB65" s="230"/>
      <c r="DC65" s="230"/>
      <c r="DD65" s="230"/>
      <c r="DE65" s="230"/>
      <c r="DF65" s="230"/>
      <c r="DG65" s="230"/>
      <c r="DH65" s="230"/>
      <c r="DI65" s="230"/>
      <c r="DJ65" s="230"/>
      <c r="DK65" s="230"/>
      <c r="DL65" s="230"/>
      <c r="DM65" s="230"/>
      <c r="DN65" s="230"/>
      <c r="DO65" s="230"/>
      <c r="DP65" s="230"/>
      <c r="DQ65" s="230"/>
      <c r="DR65" s="230"/>
      <c r="DS65" s="230"/>
      <c r="DT65" s="230"/>
      <c r="DU65" s="230"/>
      <c r="DV65" s="230"/>
      <c r="DW65" s="230"/>
      <c r="DX65" s="230"/>
      <c r="DY65" s="230"/>
      <c r="DZ65" s="230"/>
      <c r="EA65" s="230"/>
      <c r="EB65" s="230"/>
      <c r="EC65" s="230"/>
      <c r="ED65" s="230"/>
      <c r="EE65" s="230"/>
      <c r="EF65" s="230"/>
      <c r="EG65" s="230"/>
      <c r="EH65" s="230"/>
      <c r="EI65" s="230"/>
      <c r="EJ65" s="230"/>
      <c r="EK65" s="230"/>
      <c r="EL65" s="230"/>
      <c r="EM65" s="230"/>
      <c r="EN65" s="230"/>
      <c r="EO65" s="230"/>
      <c r="EP65" s="230"/>
      <c r="EQ65" s="230"/>
      <c r="ER65" s="230"/>
      <c r="ES65" s="230"/>
      <c r="ET65" s="230"/>
      <c r="EU65" s="230"/>
      <c r="EV65" s="230"/>
      <c r="EW65" s="230"/>
      <c r="EX65" s="230"/>
      <c r="EY65" s="230"/>
      <c r="EZ65" s="230"/>
      <c r="FA65" s="230"/>
      <c r="FB65" s="230"/>
      <c r="FC65" s="230"/>
      <c r="FD65" s="230"/>
      <c r="FE65" s="230"/>
      <c r="FF65" s="230"/>
      <c r="FG65" s="230"/>
      <c r="FH65" s="230"/>
      <c r="FI65" s="230"/>
      <c r="FJ65" s="230"/>
      <c r="FK65" s="230"/>
      <c r="FL65" s="230"/>
      <c r="FM65" s="230"/>
      <c r="FN65" s="230"/>
      <c r="FO65" s="230"/>
      <c r="FP65" s="230"/>
      <c r="FQ65" s="230"/>
      <c r="FR65" s="230"/>
      <c r="FS65" s="230"/>
      <c r="FT65" s="230"/>
      <c r="FU65" s="230"/>
      <c r="FV65" s="230"/>
      <c r="FW65" s="230"/>
      <c r="FX65" s="230"/>
      <c r="FY65" s="230"/>
      <c r="FZ65" s="230"/>
      <c r="GA65" s="230"/>
      <c r="GB65" s="230"/>
      <c r="GC65" s="230"/>
      <c r="GD65" s="230"/>
      <c r="GE65" s="230"/>
      <c r="GF65" s="230"/>
      <c r="GG65" s="230"/>
      <c r="GH65" s="230"/>
      <c r="GI65" s="230"/>
      <c r="GJ65" s="230"/>
      <c r="GK65" s="230"/>
      <c r="GL65" s="230"/>
      <c r="GM65" s="230"/>
      <c r="GN65" s="230"/>
      <c r="GO65" s="230"/>
      <c r="GP65" s="230"/>
      <c r="GQ65" s="230"/>
      <c r="GR65" s="230"/>
      <c r="GS65" s="230"/>
      <c r="GT65" s="230"/>
      <c r="GU65" s="230"/>
      <c r="GV65" s="230"/>
      <c r="GW65" s="230"/>
      <c r="GX65" s="230"/>
      <c r="GY65" s="230"/>
      <c r="GZ65" s="230"/>
      <c r="HA65" s="230"/>
      <c r="HB65" s="230"/>
      <c r="HC65" s="230"/>
      <c r="HD65" s="230"/>
      <c r="HE65" s="230"/>
      <c r="HF65" s="230"/>
      <c r="HG65" s="230"/>
      <c r="HH65" s="230"/>
      <c r="HI65" s="230"/>
      <c r="HJ65" s="230"/>
      <c r="HK65" s="230"/>
      <c r="HL65" s="230"/>
      <c r="HM65" s="230"/>
      <c r="HN65" s="230"/>
      <c r="HO65" s="230"/>
      <c r="HP65" s="230"/>
      <c r="HQ65" s="230"/>
      <c r="HR65" s="230"/>
      <c r="HS65" s="230"/>
      <c r="HT65" s="230"/>
      <c r="HU65" s="230"/>
      <c r="HV65" s="230"/>
      <c r="HW65" s="230"/>
      <c r="HX65" s="230"/>
      <c r="HY65" s="230"/>
      <c r="HZ65" s="230"/>
      <c r="IA65" s="230"/>
      <c r="IB65" s="230"/>
      <c r="IC65" s="230"/>
      <c r="ID65" s="230"/>
      <c r="IE65" s="230"/>
      <c r="IF65" s="230"/>
      <c r="IG65" s="230"/>
      <c r="IH65" s="230"/>
      <c r="II65" s="230"/>
      <c r="IJ65" s="230"/>
      <c r="IK65" s="230"/>
      <c r="IL65" s="230"/>
      <c r="IM65" s="230"/>
      <c r="IN65" s="230"/>
      <c r="IO65" s="230"/>
      <c r="IP65" s="230"/>
    </row>
    <row r="66" spans="1:250" s="75" customFormat="1"/>
    <row r="67" spans="1:250" s="75" customFormat="1">
      <c r="A67" s="402" t="s">
        <v>519</v>
      </c>
      <c r="B67" s="75">
        <f>549*B40*12</f>
        <v>4551188.040000001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R110"/>
  <sheetViews>
    <sheetView topLeftCell="A76" workbookViewId="0">
      <selection activeCell="A80" sqref="A80:B107"/>
    </sheetView>
  </sheetViews>
  <sheetFormatPr defaultRowHeight="15"/>
  <cols>
    <col min="1" max="1" width="74.5703125" customWidth="1"/>
    <col min="2" max="2" width="11.42578125" customWidth="1"/>
  </cols>
  <sheetData>
    <row r="1" spans="1:2" ht="15.75">
      <c r="A1" s="701" t="s">
        <v>364</v>
      </c>
      <c r="B1" s="701"/>
    </row>
    <row r="2" spans="1:2" ht="33.75" customHeight="1">
      <c r="A2" s="704" t="s">
        <v>805</v>
      </c>
      <c r="B2" s="704"/>
    </row>
    <row r="3" spans="1:2" s="55" customFormat="1" ht="15.75">
      <c r="A3" s="96"/>
      <c r="B3" s="86"/>
    </row>
    <row r="4" spans="1:2" ht="30">
      <c r="A4" s="232" t="s">
        <v>229</v>
      </c>
      <c r="B4" s="82" t="s">
        <v>523</v>
      </c>
    </row>
    <row r="5" spans="1:2" ht="15.75" thickBot="1">
      <c r="A5" s="232" t="s">
        <v>229</v>
      </c>
      <c r="B5" s="73"/>
    </row>
    <row r="6" spans="1:2" ht="15.75" thickBot="1">
      <c r="A6" s="258" t="s">
        <v>29</v>
      </c>
      <c r="B6" s="76"/>
    </row>
    <row r="7" spans="1:2">
      <c r="A7" s="257" t="s">
        <v>255</v>
      </c>
      <c r="B7" s="76"/>
    </row>
    <row r="8" spans="1:2" ht="15.75" thickBot="1">
      <c r="A8" s="202" t="s">
        <v>55</v>
      </c>
      <c r="B8" s="76"/>
    </row>
    <row r="9" spans="1:2" ht="15.75" thickBot="1">
      <c r="A9" s="256" t="s">
        <v>56</v>
      </c>
      <c r="B9" s="76"/>
    </row>
    <row r="10" spans="1:2" s="73" customFormat="1" ht="15.75" thickBot="1">
      <c r="A10" s="258" t="s">
        <v>57</v>
      </c>
      <c r="B10" s="72"/>
    </row>
    <row r="11" spans="1:2" s="73" customFormat="1" ht="28.5">
      <c r="A11" s="396" t="s">
        <v>787</v>
      </c>
      <c r="B11" s="72">
        <v>9</v>
      </c>
    </row>
    <row r="12" spans="1:2" s="73" customFormat="1" ht="28.5">
      <c r="A12" s="396" t="s">
        <v>1529</v>
      </c>
      <c r="B12" s="72">
        <v>96</v>
      </c>
    </row>
    <row r="13" spans="1:2" s="73" customFormat="1" ht="28.5">
      <c r="A13" s="400" t="s">
        <v>1533</v>
      </c>
      <c r="B13" s="72">
        <v>24</v>
      </c>
    </row>
    <row r="14" spans="1:2" s="73" customFormat="1" ht="28.5">
      <c r="A14" s="145" t="s">
        <v>1535</v>
      </c>
      <c r="B14" s="72">
        <v>16</v>
      </c>
    </row>
    <row r="15" spans="1:2" s="73" customFormat="1" ht="42.75">
      <c r="A15" s="145" t="s">
        <v>1545</v>
      </c>
      <c r="B15" s="72">
        <v>4</v>
      </c>
    </row>
    <row r="16" spans="1:2" s="73" customFormat="1">
      <c r="A16" s="145" t="s">
        <v>1548</v>
      </c>
      <c r="B16" s="72">
        <v>4</v>
      </c>
    </row>
    <row r="17" spans="1:2" s="73" customFormat="1">
      <c r="A17" s="145" t="s">
        <v>1549</v>
      </c>
      <c r="B17" s="72">
        <v>4</v>
      </c>
    </row>
    <row r="18" spans="1:2" s="73" customFormat="1">
      <c r="A18" s="398" t="s">
        <v>66</v>
      </c>
      <c r="B18" s="72"/>
    </row>
    <row r="19" spans="1:2" s="73" customFormat="1" ht="30">
      <c r="A19" s="94" t="s">
        <v>795</v>
      </c>
      <c r="B19" s="72">
        <f>0.5+0.5</f>
        <v>1</v>
      </c>
    </row>
    <row r="20" spans="1:2" s="73" customFormat="1" ht="30">
      <c r="A20" s="94" t="s">
        <v>1538</v>
      </c>
      <c r="B20" s="72">
        <v>2</v>
      </c>
    </row>
    <row r="21" spans="1:2" s="73" customFormat="1">
      <c r="A21" s="399" t="s">
        <v>590</v>
      </c>
      <c r="B21" s="72"/>
    </row>
    <row r="22" spans="1:2" s="73" customFormat="1" ht="15" customHeight="1">
      <c r="A22" s="394" t="s">
        <v>788</v>
      </c>
      <c r="B22" s="99">
        <v>2</v>
      </c>
    </row>
    <row r="23" spans="1:2" s="73" customFormat="1" ht="29.25" customHeight="1">
      <c r="A23" s="394" t="s">
        <v>789</v>
      </c>
      <c r="B23" s="72">
        <v>4</v>
      </c>
    </row>
    <row r="24" spans="1:2" s="73" customFormat="1" ht="16.5" customHeight="1">
      <c r="A24" s="394" t="s">
        <v>1526</v>
      </c>
      <c r="B24" s="72">
        <v>4</v>
      </c>
    </row>
    <row r="25" spans="1:2" s="73" customFormat="1" ht="31.5" customHeight="1">
      <c r="A25" s="394" t="s">
        <v>791</v>
      </c>
      <c r="B25" s="72">
        <v>2</v>
      </c>
    </row>
    <row r="26" spans="1:2" s="73" customFormat="1" ht="22.5" customHeight="1">
      <c r="A26" s="394" t="s">
        <v>1527</v>
      </c>
      <c r="B26" s="72">
        <v>2</v>
      </c>
    </row>
    <row r="27" spans="1:2" s="73" customFormat="1" ht="29.25" customHeight="1">
      <c r="A27" s="394" t="s">
        <v>1528</v>
      </c>
      <c r="B27" s="72">
        <v>3</v>
      </c>
    </row>
    <row r="28" spans="1:2" s="73" customFormat="1" ht="28.5">
      <c r="A28" s="400" t="s">
        <v>1530</v>
      </c>
      <c r="B28" s="72">
        <v>14</v>
      </c>
    </row>
    <row r="29" spans="1:2" s="73" customFormat="1" ht="28.5">
      <c r="A29" s="171" t="s">
        <v>1531</v>
      </c>
      <c r="B29" s="72">
        <v>2</v>
      </c>
    </row>
    <row r="30" spans="1:2" s="73" customFormat="1" ht="42.75">
      <c r="A30" s="171" t="s">
        <v>1532</v>
      </c>
      <c r="B30" s="123">
        <v>1</v>
      </c>
    </row>
    <row r="31" spans="1:2" ht="30">
      <c r="A31" s="94" t="s">
        <v>1534</v>
      </c>
      <c r="B31" s="72">
        <v>8</v>
      </c>
    </row>
    <row r="32" spans="1:2" s="73" customFormat="1">
      <c r="A32" s="171" t="s">
        <v>797</v>
      </c>
      <c r="B32" s="72">
        <v>16</v>
      </c>
    </row>
    <row r="33" spans="1:2" s="73" customFormat="1" ht="21.75" customHeight="1">
      <c r="A33" s="395" t="s">
        <v>796</v>
      </c>
      <c r="B33" s="72">
        <v>4</v>
      </c>
    </row>
    <row r="34" spans="1:2" s="73" customFormat="1" ht="32.25" customHeight="1">
      <c r="A34" s="395" t="s">
        <v>1536</v>
      </c>
      <c r="B34" s="72">
        <v>1</v>
      </c>
    </row>
    <row r="35" spans="1:2" s="73" customFormat="1" ht="42.75" customHeight="1">
      <c r="A35" s="395" t="s">
        <v>1537</v>
      </c>
      <c r="B35" s="72">
        <v>6</v>
      </c>
    </row>
    <row r="36" spans="1:2" s="73" customFormat="1" ht="36" customHeight="1">
      <c r="A36" s="395" t="s">
        <v>1539</v>
      </c>
      <c r="B36" s="72">
        <v>4</v>
      </c>
    </row>
    <row r="37" spans="1:2" s="73" customFormat="1" ht="36" customHeight="1">
      <c r="A37" s="395" t="s">
        <v>1540</v>
      </c>
      <c r="B37" s="72">
        <v>4</v>
      </c>
    </row>
    <row r="38" spans="1:2" s="73" customFormat="1" ht="36" customHeight="1">
      <c r="A38" s="395" t="s">
        <v>1541</v>
      </c>
      <c r="B38" s="72">
        <v>8</v>
      </c>
    </row>
    <row r="39" spans="1:2" s="73" customFormat="1" ht="36" customHeight="1">
      <c r="A39" s="395" t="s">
        <v>1544</v>
      </c>
      <c r="B39" s="72">
        <v>1</v>
      </c>
    </row>
    <row r="40" spans="1:2" s="73" customFormat="1" ht="43.5" customHeight="1">
      <c r="A40" s="395" t="s">
        <v>1546</v>
      </c>
      <c r="B40" s="72">
        <v>16</v>
      </c>
    </row>
    <row r="41" spans="1:2" s="73" customFormat="1" ht="31.5" customHeight="1">
      <c r="A41" s="395" t="s">
        <v>1551</v>
      </c>
      <c r="B41" s="72">
        <v>3</v>
      </c>
    </row>
    <row r="42" spans="1:2" s="73" customFormat="1" ht="15.75" customHeight="1">
      <c r="A42" s="399" t="s">
        <v>102</v>
      </c>
      <c r="B42" s="72"/>
    </row>
    <row r="43" spans="1:2" s="73" customFormat="1" ht="28.5">
      <c r="A43" s="154" t="s">
        <v>790</v>
      </c>
      <c r="B43" s="72">
        <v>1</v>
      </c>
    </row>
    <row r="44" spans="1:2" s="73" customFormat="1" ht="28.5">
      <c r="A44" s="400" t="s">
        <v>792</v>
      </c>
      <c r="B44" s="72">
        <v>1</v>
      </c>
    </row>
    <row r="45" spans="1:2" s="73" customFormat="1" ht="29.25" customHeight="1">
      <c r="A45" s="400" t="s">
        <v>793</v>
      </c>
      <c r="B45" s="72">
        <v>1</v>
      </c>
    </row>
    <row r="46" spans="1:2" s="73" customFormat="1" ht="29.25" customHeight="1">
      <c r="A46" s="400" t="s">
        <v>794</v>
      </c>
      <c r="B46" s="72">
        <v>1</v>
      </c>
    </row>
    <row r="47" spans="1:2" s="73" customFormat="1" ht="15.75" customHeight="1">
      <c r="A47" s="400" t="s">
        <v>1542</v>
      </c>
      <c r="B47" s="72">
        <v>1</v>
      </c>
    </row>
    <row r="48" spans="1:2" s="73" customFormat="1" ht="15.75" customHeight="1">
      <c r="A48" s="400" t="s">
        <v>1543</v>
      </c>
      <c r="B48" s="72">
        <v>1</v>
      </c>
    </row>
    <row r="49" spans="1:249" s="73" customFormat="1" ht="15.75" customHeight="1">
      <c r="A49" s="400" t="s">
        <v>1547</v>
      </c>
      <c r="B49" s="72">
        <v>1</v>
      </c>
    </row>
    <row r="50" spans="1:249" s="73" customFormat="1" ht="15.75" customHeight="1">
      <c r="A50" s="400" t="s">
        <v>1550</v>
      </c>
      <c r="B50" s="72">
        <v>1</v>
      </c>
    </row>
    <row r="51" spans="1:249" s="73" customFormat="1" ht="15.75" thickBot="1">
      <c r="A51" s="401" t="s">
        <v>660</v>
      </c>
      <c r="B51" s="99">
        <f>SUM(B11:B50)</f>
        <v>273</v>
      </c>
    </row>
    <row r="52" spans="1:249" s="73" customFormat="1">
      <c r="A52" s="175"/>
      <c r="B52" s="259"/>
    </row>
    <row r="53" spans="1:249" s="179" customFormat="1" ht="43.5" customHeight="1">
      <c r="A53" s="405" t="s">
        <v>1557</v>
      </c>
      <c r="IO53"/>
    </row>
    <row r="54" spans="1:249">
      <c r="A54" s="196" t="s">
        <v>593</v>
      </c>
      <c r="B54" s="196">
        <v>710.6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179"/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</row>
    <row r="55" spans="1:249">
      <c r="A55" s="196" t="s">
        <v>594</v>
      </c>
      <c r="B55" s="196">
        <v>17.829999999999998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179"/>
      <c r="HX55" s="179"/>
      <c r="HY55" s="179"/>
      <c r="HZ55" s="179"/>
      <c r="IA55" s="179"/>
      <c r="IB55" s="179"/>
      <c r="IC55" s="179"/>
      <c r="ID55" s="179"/>
      <c r="IE55" s="179"/>
      <c r="IF55" s="179"/>
      <c r="IG55" s="179"/>
      <c r="IH55" s="179"/>
      <c r="II55" s="179"/>
      <c r="IJ55" s="179"/>
      <c r="IK55" s="179"/>
      <c r="IL55" s="179"/>
      <c r="IM55" s="179"/>
      <c r="IN55" s="179"/>
    </row>
    <row r="56" spans="1:249" s="75" customFormat="1">
      <c r="A56" s="213" t="s">
        <v>588</v>
      </c>
      <c r="B56" s="213">
        <v>4351.3500000000004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197"/>
      <c r="FG56" s="197"/>
      <c r="FH56" s="197"/>
      <c r="FI56" s="197"/>
      <c r="FJ56" s="197"/>
      <c r="FK56" s="197"/>
      <c r="FL56" s="197"/>
      <c r="FM56" s="197"/>
      <c r="FN56" s="197"/>
      <c r="FO56" s="197"/>
      <c r="FP56" s="197"/>
      <c r="FQ56" s="197"/>
      <c r="FR56" s="197"/>
      <c r="FS56" s="197"/>
      <c r="FT56" s="197"/>
      <c r="FU56" s="197"/>
      <c r="FV56" s="197"/>
      <c r="FW56" s="197"/>
      <c r="FX56" s="197"/>
      <c r="FY56" s="197"/>
      <c r="FZ56" s="197"/>
      <c r="GA56" s="197"/>
      <c r="GB56" s="197"/>
      <c r="GC56" s="197"/>
      <c r="GD56" s="197"/>
      <c r="GE56" s="197"/>
      <c r="GF56" s="197"/>
      <c r="GG56" s="197"/>
      <c r="GH56" s="197"/>
      <c r="GI56" s="197"/>
      <c r="GJ56" s="197"/>
      <c r="GK56" s="197"/>
      <c r="GL56" s="197"/>
      <c r="GM56" s="197"/>
      <c r="GN56" s="197"/>
      <c r="GO56" s="197"/>
      <c r="GP56" s="197"/>
      <c r="GQ56" s="197"/>
      <c r="GR56" s="197"/>
      <c r="GS56" s="197"/>
      <c r="GT56" s="197"/>
      <c r="GU56" s="197"/>
      <c r="GV56" s="197"/>
      <c r="GW56" s="197"/>
      <c r="GX56" s="197"/>
      <c r="GY56" s="197"/>
      <c r="GZ56" s="197"/>
      <c r="HA56" s="197"/>
      <c r="HB56" s="197"/>
      <c r="HC56" s="197"/>
      <c r="HD56" s="197"/>
      <c r="HE56" s="197"/>
      <c r="HF56" s="197"/>
      <c r="HG56" s="197"/>
      <c r="HH56" s="197"/>
      <c r="HI56" s="197"/>
      <c r="HJ56" s="197"/>
      <c r="HK56" s="197"/>
      <c r="HL56" s="197"/>
      <c r="HM56" s="197"/>
      <c r="HN56" s="197"/>
      <c r="HO56" s="197"/>
      <c r="HP56" s="197"/>
      <c r="HQ56" s="197"/>
      <c r="HR56" s="197"/>
      <c r="HS56" s="197"/>
      <c r="HT56" s="197"/>
      <c r="HU56" s="197"/>
      <c r="HV56" s="197"/>
      <c r="HW56" s="197"/>
      <c r="HX56" s="197"/>
      <c r="HY56" s="197"/>
      <c r="HZ56" s="197"/>
      <c r="IA56" s="197"/>
      <c r="IB56" s="197"/>
      <c r="IC56" s="197"/>
      <c r="ID56" s="197"/>
      <c r="IE56" s="197"/>
      <c r="IF56" s="197"/>
      <c r="IG56" s="197"/>
      <c r="IH56" s="197"/>
      <c r="II56" s="197"/>
      <c r="IJ56" s="197"/>
      <c r="IK56" s="197"/>
      <c r="IL56" s="197"/>
      <c r="IM56" s="197"/>
      <c r="IN56" s="197"/>
    </row>
    <row r="57" spans="1:249">
      <c r="A57" s="193" t="s">
        <v>1558</v>
      </c>
      <c r="B57" s="194">
        <v>152040.24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  <c r="FL57" s="179"/>
      <c r="FM57" s="179"/>
      <c r="FN57" s="179"/>
      <c r="FO57" s="179"/>
      <c r="FP57" s="179"/>
      <c r="FQ57" s="179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9"/>
      <c r="GL57" s="179"/>
      <c r="GM57" s="179"/>
      <c r="GN57" s="179"/>
      <c r="GO57" s="179"/>
      <c r="GP57" s="179"/>
      <c r="GQ57" s="179"/>
      <c r="GR57" s="179"/>
      <c r="GS57" s="179"/>
      <c r="GT57" s="179"/>
      <c r="GU57" s="179"/>
      <c r="GV57" s="179"/>
      <c r="GW57" s="179"/>
      <c r="GX57" s="179"/>
      <c r="GY57" s="179"/>
      <c r="GZ57" s="179"/>
      <c r="HA57" s="179"/>
      <c r="HB57" s="179"/>
      <c r="HC57" s="179"/>
      <c r="HD57" s="179"/>
      <c r="HE57" s="179"/>
      <c r="HF57" s="179"/>
      <c r="HG57" s="179"/>
      <c r="HH57" s="179"/>
      <c r="HI57" s="179"/>
      <c r="HJ57" s="179"/>
      <c r="HK57" s="179"/>
      <c r="HL57" s="179"/>
      <c r="HM57" s="179"/>
      <c r="HN57" s="179"/>
      <c r="HO57" s="179"/>
      <c r="HP57" s="179"/>
      <c r="HQ57" s="179"/>
      <c r="HR57" s="179"/>
      <c r="HS57" s="179"/>
      <c r="HT57" s="179"/>
      <c r="HU57" s="179"/>
      <c r="HV57" s="179"/>
      <c r="HW57" s="179"/>
      <c r="HX57" s="179"/>
      <c r="HY57" s="179"/>
      <c r="HZ57" s="179"/>
      <c r="IA57" s="179"/>
      <c r="IB57" s="179"/>
      <c r="IC57" s="179"/>
      <c r="ID57" s="179"/>
      <c r="IE57" s="179"/>
      <c r="IF57" s="179"/>
      <c r="IG57" s="179"/>
      <c r="IH57" s="179"/>
      <c r="II57" s="179"/>
      <c r="IJ57" s="179"/>
      <c r="IK57" s="179"/>
      <c r="IL57" s="179"/>
      <c r="IM57" s="179"/>
      <c r="IN57" s="179"/>
    </row>
    <row r="58" spans="1:249">
      <c r="A58" s="193" t="s">
        <v>1559</v>
      </c>
      <c r="B58" s="194">
        <v>845.82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  <c r="FL58" s="179"/>
      <c r="FM58" s="179"/>
      <c r="FN58" s="179"/>
      <c r="FO58" s="179"/>
      <c r="FP58" s="179"/>
      <c r="FQ58" s="179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9"/>
      <c r="GL58" s="179"/>
      <c r="GM58" s="179"/>
      <c r="GN58" s="179"/>
      <c r="GO58" s="179"/>
      <c r="GP58" s="179"/>
      <c r="GQ58" s="179"/>
      <c r="GR58" s="179"/>
      <c r="GS58" s="179"/>
      <c r="GT58" s="179"/>
      <c r="GU58" s="179"/>
      <c r="GV58" s="179"/>
      <c r="GW58" s="179"/>
      <c r="GX58" s="179"/>
      <c r="GY58" s="179"/>
      <c r="GZ58" s="179"/>
      <c r="HA58" s="179"/>
      <c r="HB58" s="179"/>
      <c r="HC58" s="179"/>
      <c r="HD58" s="179"/>
      <c r="HE58" s="179"/>
      <c r="HF58" s="179"/>
      <c r="HG58" s="179"/>
      <c r="HH58" s="179"/>
      <c r="HI58" s="179"/>
      <c r="HJ58" s="179"/>
      <c r="HK58" s="179"/>
      <c r="HL58" s="179"/>
      <c r="HM58" s="179"/>
      <c r="HN58" s="179"/>
      <c r="HO58" s="179"/>
      <c r="HP58" s="179"/>
      <c r="HQ58" s="179"/>
      <c r="HR58" s="179"/>
      <c r="HS58" s="179"/>
      <c r="HT58" s="179"/>
      <c r="HU58" s="179"/>
      <c r="HV58" s="179"/>
      <c r="HW58" s="179"/>
      <c r="HX58" s="179"/>
      <c r="HY58" s="179"/>
      <c r="HZ58" s="179"/>
      <c r="IA58" s="179"/>
      <c r="IB58" s="179"/>
      <c r="IC58" s="179"/>
      <c r="ID58" s="179"/>
      <c r="IE58" s="179"/>
      <c r="IF58" s="179"/>
      <c r="IG58" s="179"/>
      <c r="IH58" s="179"/>
      <c r="II58" s="179"/>
      <c r="IJ58" s="179"/>
      <c r="IK58" s="179"/>
      <c r="IL58" s="179"/>
      <c r="IM58" s="179"/>
      <c r="IN58" s="179"/>
    </row>
    <row r="59" spans="1:249">
      <c r="A59" s="193" t="s">
        <v>798</v>
      </c>
      <c r="B59" s="194">
        <v>85472.33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79"/>
      <c r="FK59" s="179"/>
      <c r="FL59" s="179"/>
      <c r="FM59" s="179"/>
      <c r="FN59" s="179"/>
      <c r="FO59" s="179"/>
      <c r="FP59" s="179"/>
      <c r="FQ59" s="179"/>
      <c r="FR59" s="179"/>
      <c r="FS59" s="179"/>
      <c r="FT59" s="179"/>
      <c r="FU59" s="179"/>
      <c r="FV59" s="179"/>
      <c r="FW59" s="179"/>
      <c r="FX59" s="179"/>
      <c r="FY59" s="179"/>
      <c r="FZ59" s="179"/>
      <c r="GA59" s="179"/>
      <c r="GB59" s="179"/>
      <c r="GC59" s="179"/>
      <c r="GD59" s="179"/>
      <c r="GE59" s="179"/>
      <c r="GF59" s="179"/>
      <c r="GG59" s="179"/>
      <c r="GH59" s="179"/>
      <c r="GI59" s="179"/>
      <c r="GJ59" s="179"/>
      <c r="GK59" s="179"/>
      <c r="GL59" s="179"/>
      <c r="GM59" s="179"/>
      <c r="GN59" s="179"/>
      <c r="GO59" s="179"/>
      <c r="GP59" s="179"/>
      <c r="GQ59" s="179"/>
      <c r="GR59" s="179"/>
      <c r="GS59" s="179"/>
      <c r="GT59" s="179"/>
      <c r="GU59" s="179"/>
      <c r="GV59" s="179"/>
      <c r="GW59" s="179"/>
      <c r="GX59" s="179"/>
      <c r="GY59" s="179"/>
      <c r="GZ59" s="179"/>
      <c r="HA59" s="179"/>
      <c r="HB59" s="179"/>
      <c r="HC59" s="179"/>
      <c r="HD59" s="179"/>
      <c r="HE59" s="179"/>
      <c r="HF59" s="179"/>
      <c r="HG59" s="179"/>
      <c r="HH59" s="179"/>
      <c r="HI59" s="179"/>
      <c r="HJ59" s="179"/>
      <c r="HK59" s="179"/>
      <c r="HL59" s="179"/>
      <c r="HM59" s="179"/>
      <c r="HN59" s="179"/>
      <c r="HO59" s="179"/>
      <c r="HP59" s="179"/>
      <c r="HQ59" s="179"/>
      <c r="HR59" s="179"/>
      <c r="HS59" s="179"/>
      <c r="HT59" s="179"/>
      <c r="HU59" s="179"/>
      <c r="HV59" s="179"/>
      <c r="HW59" s="179"/>
      <c r="HX59" s="179"/>
      <c r="HY59" s="179"/>
      <c r="HZ59" s="179"/>
      <c r="IA59" s="179"/>
      <c r="IB59" s="179"/>
      <c r="IC59" s="179"/>
      <c r="ID59" s="179"/>
      <c r="IE59" s="179"/>
      <c r="IF59" s="179"/>
      <c r="IG59" s="179"/>
      <c r="IH59" s="179"/>
      <c r="II59" s="179"/>
      <c r="IJ59" s="179"/>
      <c r="IK59" s="179"/>
      <c r="IL59" s="179"/>
      <c r="IM59" s="179"/>
      <c r="IN59" s="179"/>
    </row>
    <row r="60" spans="1:249" s="75" customFormat="1">
      <c r="A60" s="213" t="s">
        <v>801</v>
      </c>
      <c r="B60" s="213">
        <v>8415.65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  <c r="EN60" s="197"/>
      <c r="EO60" s="197"/>
      <c r="EP60" s="197"/>
      <c r="EQ60" s="197"/>
      <c r="ER60" s="197"/>
      <c r="ES60" s="197"/>
      <c r="ET60" s="197"/>
      <c r="EU60" s="197"/>
      <c r="EV60" s="197"/>
      <c r="EW60" s="197"/>
      <c r="EX60" s="197"/>
      <c r="EY60" s="197"/>
      <c r="EZ60" s="197"/>
      <c r="FA60" s="197"/>
      <c r="FB60" s="197"/>
      <c r="FC60" s="197"/>
      <c r="FD60" s="197"/>
      <c r="FE60" s="197"/>
      <c r="FF60" s="197"/>
      <c r="FG60" s="197"/>
      <c r="FH60" s="197"/>
      <c r="FI60" s="197"/>
      <c r="FJ60" s="197"/>
      <c r="FK60" s="197"/>
      <c r="FL60" s="197"/>
      <c r="FM60" s="197"/>
      <c r="FN60" s="197"/>
      <c r="FO60" s="197"/>
      <c r="FP60" s="197"/>
      <c r="FQ60" s="197"/>
      <c r="FR60" s="197"/>
      <c r="FS60" s="197"/>
      <c r="FT60" s="197"/>
      <c r="FU60" s="197"/>
      <c r="FV60" s="197"/>
      <c r="FW60" s="197"/>
      <c r="FX60" s="197"/>
      <c r="FY60" s="197"/>
      <c r="FZ60" s="197"/>
      <c r="GA60" s="197"/>
      <c r="GB60" s="197"/>
      <c r="GC60" s="197"/>
      <c r="GD60" s="197"/>
      <c r="GE60" s="197"/>
      <c r="GF60" s="197"/>
      <c r="GG60" s="197"/>
      <c r="GH60" s="197"/>
      <c r="GI60" s="197"/>
      <c r="GJ60" s="197"/>
      <c r="GK60" s="197"/>
      <c r="GL60" s="197"/>
      <c r="GM60" s="197"/>
      <c r="GN60" s="197"/>
      <c r="GO60" s="197"/>
      <c r="GP60" s="197"/>
      <c r="GQ60" s="197"/>
      <c r="GR60" s="197"/>
      <c r="GS60" s="197"/>
      <c r="GT60" s="197"/>
      <c r="GU60" s="197"/>
      <c r="GV60" s="197"/>
      <c r="GW60" s="197"/>
      <c r="GX60" s="197"/>
      <c r="GY60" s="197"/>
      <c r="GZ60" s="197"/>
      <c r="HA60" s="197"/>
      <c r="HB60" s="197"/>
      <c r="HC60" s="197"/>
      <c r="HD60" s="197"/>
      <c r="HE60" s="197"/>
      <c r="HF60" s="197"/>
      <c r="HG60" s="197"/>
      <c r="HH60" s="197"/>
      <c r="HI60" s="197"/>
      <c r="HJ60" s="197"/>
      <c r="HK60" s="197"/>
      <c r="HL60" s="197"/>
      <c r="HM60" s="197"/>
      <c r="HN60" s="197"/>
      <c r="HO60" s="197"/>
      <c r="HP60" s="197"/>
      <c r="HQ60" s="197"/>
      <c r="HR60" s="197"/>
      <c r="HS60" s="197"/>
      <c r="HT60" s="197"/>
      <c r="HU60" s="197"/>
      <c r="HV60" s="197"/>
      <c r="HW60" s="197"/>
      <c r="HX60" s="197"/>
      <c r="HY60" s="197"/>
      <c r="HZ60" s="197"/>
      <c r="IA60" s="197"/>
      <c r="IB60" s="197"/>
      <c r="IC60" s="197"/>
      <c r="ID60" s="197"/>
      <c r="IE60" s="197"/>
      <c r="IF60" s="197"/>
      <c r="IG60" s="197"/>
      <c r="IH60" s="197"/>
      <c r="II60" s="197"/>
      <c r="IJ60" s="197"/>
      <c r="IK60" s="197"/>
      <c r="IL60" s="197"/>
      <c r="IM60" s="197"/>
      <c r="IN60" s="197"/>
    </row>
    <row r="61" spans="1:249" ht="29.25" customHeight="1">
      <c r="A61" s="234" t="s">
        <v>799</v>
      </c>
      <c r="B61" s="198">
        <f>B59</f>
        <v>85472.33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  <c r="FL61" s="179"/>
      <c r="FM61" s="179"/>
      <c r="FN61" s="179"/>
      <c r="FO61" s="179"/>
      <c r="FP61" s="179"/>
      <c r="FQ61" s="179"/>
      <c r="FR61" s="179"/>
      <c r="FS61" s="179"/>
      <c r="FT61" s="179"/>
      <c r="FU61" s="179"/>
      <c r="FV61" s="179"/>
      <c r="FW61" s="179"/>
      <c r="FX61" s="179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  <c r="GI61" s="179"/>
      <c r="GJ61" s="179"/>
      <c r="GK61" s="179"/>
      <c r="GL61" s="179"/>
      <c r="GM61" s="179"/>
      <c r="GN61" s="179"/>
      <c r="GO61" s="179"/>
      <c r="GP61" s="179"/>
      <c r="GQ61" s="179"/>
      <c r="GR61" s="179"/>
      <c r="GS61" s="179"/>
      <c r="GT61" s="179"/>
      <c r="GU61" s="179"/>
      <c r="GV61" s="179"/>
      <c r="GW61" s="179"/>
      <c r="GX61" s="179"/>
      <c r="GY61" s="179"/>
      <c r="GZ61" s="179"/>
      <c r="HA61" s="179"/>
      <c r="HB61" s="179"/>
      <c r="HC61" s="179"/>
      <c r="HD61" s="179"/>
      <c r="HE61" s="179"/>
      <c r="HF61" s="179"/>
      <c r="HG61" s="179"/>
      <c r="HH61" s="179"/>
      <c r="HI61" s="179"/>
      <c r="HJ61" s="179"/>
      <c r="HK61" s="179"/>
      <c r="HL61" s="179"/>
      <c r="HM61" s="179"/>
      <c r="HN61" s="179"/>
      <c r="HO61" s="179"/>
      <c r="HP61" s="179"/>
      <c r="HQ61" s="179"/>
      <c r="HR61" s="179"/>
      <c r="HS61" s="179"/>
      <c r="HT61" s="179"/>
      <c r="HU61" s="179"/>
      <c r="HV61" s="179"/>
      <c r="HW61" s="179"/>
      <c r="HX61" s="179"/>
      <c r="HY61" s="179"/>
      <c r="HZ61" s="179"/>
      <c r="IA61" s="179"/>
      <c r="IB61" s="179"/>
      <c r="IC61" s="179"/>
      <c r="ID61" s="179"/>
      <c r="IE61" s="179"/>
      <c r="IF61" s="179"/>
      <c r="IG61" s="179"/>
      <c r="IH61" s="179"/>
      <c r="II61" s="179"/>
      <c r="IJ61" s="179"/>
      <c r="IK61" s="179"/>
      <c r="IL61" s="179"/>
      <c r="IM61" s="179"/>
      <c r="IN61" s="179"/>
    </row>
    <row r="62" spans="1:249">
      <c r="A62" s="230"/>
      <c r="B62" s="230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9"/>
      <c r="GL62" s="179"/>
      <c r="GM62" s="179"/>
      <c r="GN62" s="179"/>
      <c r="GO62" s="179"/>
      <c r="GP62" s="179"/>
      <c r="GQ62" s="179"/>
      <c r="GR62" s="179"/>
      <c r="GS62" s="179"/>
      <c r="GT62" s="179"/>
      <c r="GU62" s="179"/>
      <c r="GV62" s="179"/>
      <c r="GW62" s="179"/>
      <c r="GX62" s="179"/>
      <c r="GY62" s="179"/>
      <c r="GZ62" s="179"/>
      <c r="HA62" s="179"/>
      <c r="HB62" s="179"/>
      <c r="HC62" s="179"/>
      <c r="HD62" s="179"/>
      <c r="HE62" s="179"/>
      <c r="HF62" s="179"/>
      <c r="HG62" s="179"/>
      <c r="HH62" s="179"/>
      <c r="HI62" s="179"/>
      <c r="HJ62" s="179"/>
      <c r="HK62" s="179"/>
      <c r="HL62" s="179"/>
      <c r="HM62" s="179"/>
      <c r="HN62" s="179"/>
      <c r="HO62" s="179"/>
      <c r="HP62" s="179"/>
      <c r="HQ62" s="179"/>
      <c r="HR62" s="179"/>
      <c r="HS62" s="179"/>
      <c r="HT62" s="179"/>
      <c r="HU62" s="179"/>
      <c r="HV62" s="179"/>
      <c r="HW62" s="179"/>
      <c r="HX62" s="179"/>
      <c r="HY62" s="179"/>
      <c r="HZ62" s="179"/>
      <c r="IA62" s="179"/>
      <c r="IB62" s="179"/>
      <c r="IC62" s="179"/>
      <c r="ID62" s="179"/>
      <c r="IE62" s="179"/>
      <c r="IF62" s="179"/>
      <c r="IG62" s="179"/>
      <c r="IH62" s="179"/>
      <c r="II62" s="179"/>
      <c r="IJ62" s="179"/>
      <c r="IK62" s="179"/>
      <c r="IL62" s="179"/>
      <c r="IM62" s="179"/>
      <c r="IN62" s="179"/>
    </row>
    <row r="63" spans="1:249">
      <c r="A63" s="196" t="s">
        <v>800</v>
      </c>
      <c r="B63" s="198">
        <f>B66+B67+B68+B69+B71+B73+B74+B70+B65</f>
        <v>131220.3572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179"/>
      <c r="FP63" s="179"/>
      <c r="FQ63" s="179"/>
      <c r="FR63" s="179"/>
      <c r="FS63" s="179"/>
      <c r="FT63" s="179"/>
      <c r="FU63" s="179"/>
      <c r="FV63" s="179"/>
      <c r="FW63" s="179"/>
      <c r="FX63" s="179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  <c r="GI63" s="179"/>
      <c r="GJ63" s="179"/>
      <c r="GK63" s="179"/>
      <c r="GL63" s="179"/>
      <c r="GM63" s="179"/>
      <c r="GN63" s="179"/>
      <c r="GO63" s="179"/>
      <c r="GP63" s="179"/>
      <c r="GQ63" s="179"/>
      <c r="GR63" s="179"/>
      <c r="GS63" s="179"/>
      <c r="GT63" s="179"/>
      <c r="GU63" s="179"/>
      <c r="GV63" s="179"/>
      <c r="GW63" s="179"/>
      <c r="GX63" s="179"/>
      <c r="GY63" s="179"/>
      <c r="GZ63" s="179"/>
      <c r="HA63" s="179"/>
      <c r="HB63" s="179"/>
      <c r="HC63" s="179"/>
      <c r="HD63" s="179"/>
      <c r="HE63" s="179"/>
      <c r="HF63" s="179"/>
      <c r="HG63" s="179"/>
      <c r="HH63" s="179"/>
      <c r="HI63" s="179"/>
      <c r="HJ63" s="179"/>
      <c r="HK63" s="179"/>
      <c r="HL63" s="179"/>
      <c r="HM63" s="179"/>
      <c r="HN63" s="179"/>
      <c r="HO63" s="179"/>
      <c r="HP63" s="179"/>
      <c r="HQ63" s="179"/>
      <c r="HR63" s="179"/>
      <c r="HS63" s="179"/>
      <c r="HT63" s="179"/>
      <c r="HU63" s="179"/>
      <c r="HV63" s="179"/>
      <c r="HW63" s="179"/>
      <c r="HX63" s="179"/>
      <c r="HY63" s="179"/>
      <c r="HZ63" s="179"/>
      <c r="IA63" s="179"/>
      <c r="IB63" s="179"/>
      <c r="IC63" s="179"/>
      <c r="ID63" s="179"/>
      <c r="IE63" s="179"/>
      <c r="IF63" s="179"/>
      <c r="IG63" s="179"/>
      <c r="IH63" s="179"/>
      <c r="II63" s="179"/>
      <c r="IJ63" s="179"/>
      <c r="IK63" s="179"/>
      <c r="IL63" s="179"/>
      <c r="IM63" s="179"/>
      <c r="IN63" s="179"/>
    </row>
    <row r="64" spans="1:249">
      <c r="A64" s="193" t="s">
        <v>599</v>
      </c>
      <c r="B64" s="193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  <c r="GI64" s="179"/>
      <c r="GJ64" s="179"/>
      <c r="GK64" s="179"/>
      <c r="GL64" s="179"/>
      <c r="GM64" s="179"/>
      <c r="GN64" s="179"/>
      <c r="GO64" s="179"/>
      <c r="GP64" s="179"/>
      <c r="GQ64" s="179"/>
      <c r="GR64" s="179"/>
      <c r="GS64" s="179"/>
      <c r="GT64" s="179"/>
      <c r="GU64" s="179"/>
      <c r="GV64" s="179"/>
      <c r="GW64" s="179"/>
      <c r="GX64" s="179"/>
      <c r="GY64" s="179"/>
      <c r="GZ64" s="179"/>
      <c r="HA64" s="179"/>
      <c r="HB64" s="179"/>
      <c r="HC64" s="179"/>
      <c r="HD64" s="179"/>
      <c r="HE64" s="179"/>
      <c r="HF64" s="179"/>
      <c r="HG64" s="179"/>
      <c r="HH64" s="179"/>
      <c r="HI64" s="179"/>
      <c r="HJ64" s="179"/>
      <c r="HK64" s="179"/>
      <c r="HL64" s="179"/>
      <c r="HM64" s="179"/>
      <c r="HN64" s="179"/>
      <c r="HO64" s="179"/>
      <c r="HP64" s="179"/>
      <c r="HQ64" s="179"/>
      <c r="HR64" s="179"/>
      <c r="HS64" s="179"/>
      <c r="HT64" s="179"/>
      <c r="HU64" s="179"/>
      <c r="HV64" s="179"/>
      <c r="HW64" s="179"/>
      <c r="HX64" s="179"/>
      <c r="HY64" s="179"/>
      <c r="HZ64" s="179"/>
      <c r="IA64" s="179"/>
      <c r="IB64" s="179"/>
      <c r="IC64" s="179"/>
      <c r="ID64" s="179"/>
      <c r="IE64" s="179"/>
      <c r="IF64" s="179"/>
      <c r="IG64" s="179"/>
      <c r="IH64" s="179"/>
      <c r="II64" s="179"/>
      <c r="IJ64" s="179"/>
      <c r="IK64" s="179"/>
      <c r="IL64" s="179"/>
      <c r="IM64" s="179"/>
      <c r="IN64" s="179"/>
    </row>
    <row r="65" spans="1:252">
      <c r="A65" s="193" t="s">
        <v>803</v>
      </c>
      <c r="B65" s="193">
        <f>140.98*6</f>
        <v>845.87999999999988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9"/>
      <c r="GL65" s="179"/>
      <c r="GM65" s="179"/>
      <c r="GN65" s="179"/>
      <c r="GO65" s="179"/>
      <c r="GP65" s="179"/>
      <c r="GQ65" s="179"/>
      <c r="GR65" s="179"/>
      <c r="GS65" s="179"/>
      <c r="GT65" s="179"/>
      <c r="GU65" s="179"/>
      <c r="GV65" s="179"/>
      <c r="GW65" s="179"/>
      <c r="GX65" s="179"/>
      <c r="GY65" s="179"/>
      <c r="GZ65" s="179"/>
      <c r="HA65" s="179"/>
      <c r="HB65" s="179"/>
      <c r="HC65" s="179"/>
      <c r="HD65" s="179"/>
      <c r="HE65" s="179"/>
      <c r="HF65" s="179"/>
      <c r="HG65" s="179"/>
      <c r="HH65" s="179"/>
      <c r="HI65" s="179"/>
      <c r="HJ65" s="179"/>
      <c r="HK65" s="179"/>
      <c r="HL65" s="179"/>
      <c r="HM65" s="179"/>
      <c r="HN65" s="179"/>
      <c r="HO65" s="179"/>
      <c r="HP65" s="179"/>
      <c r="HQ65" s="179"/>
      <c r="HR65" s="179"/>
      <c r="HS65" s="179"/>
      <c r="HT65" s="179"/>
      <c r="HU65" s="179"/>
      <c r="HV65" s="179"/>
      <c r="HW65" s="179"/>
      <c r="HX65" s="179"/>
      <c r="HY65" s="179"/>
      <c r="HZ65" s="179"/>
      <c r="IA65" s="179"/>
      <c r="IB65" s="179"/>
      <c r="IC65" s="179"/>
      <c r="ID65" s="179"/>
      <c r="IE65" s="179"/>
      <c r="IF65" s="179"/>
      <c r="IG65" s="179"/>
      <c r="IH65" s="179"/>
      <c r="II65" s="179"/>
      <c r="IJ65" s="179"/>
      <c r="IK65" s="179"/>
      <c r="IL65" s="179"/>
      <c r="IM65" s="179"/>
      <c r="IN65" s="179"/>
    </row>
    <row r="66" spans="1:252">
      <c r="A66" s="193" t="s">
        <v>521</v>
      </c>
      <c r="B66" s="194">
        <f>2.97*B54*7</f>
        <v>14773.374000000003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9"/>
      <c r="GL66" s="179"/>
      <c r="GM66" s="179"/>
      <c r="GN66" s="179"/>
      <c r="GO66" s="179"/>
      <c r="GP66" s="179"/>
      <c r="GQ66" s="179"/>
      <c r="GR66" s="179"/>
      <c r="GS66" s="179"/>
      <c r="GT66" s="179"/>
      <c r="GU66" s="179"/>
      <c r="GV66" s="179"/>
      <c r="GW66" s="179"/>
      <c r="GX66" s="179"/>
      <c r="GY66" s="179"/>
      <c r="GZ66" s="179"/>
      <c r="HA66" s="179"/>
      <c r="HB66" s="179"/>
      <c r="HC66" s="179"/>
      <c r="HD66" s="179"/>
      <c r="HE66" s="179"/>
      <c r="HF66" s="179"/>
      <c r="HG66" s="179"/>
      <c r="HH66" s="179"/>
      <c r="HI66" s="179"/>
      <c r="HJ66" s="179"/>
      <c r="HK66" s="179"/>
      <c r="HL66" s="179"/>
      <c r="HM66" s="179"/>
      <c r="HN66" s="179"/>
      <c r="HO66" s="179"/>
      <c r="HP66" s="179"/>
      <c r="HQ66" s="179"/>
      <c r="HR66" s="179"/>
      <c r="HS66" s="179"/>
      <c r="HT66" s="179"/>
      <c r="HU66" s="179"/>
      <c r="HV66" s="179"/>
      <c r="HW66" s="179"/>
      <c r="HX66" s="179"/>
      <c r="HY66" s="179"/>
      <c r="HZ66" s="179"/>
      <c r="IA66" s="179"/>
      <c r="IB66" s="179"/>
      <c r="IC66" s="179"/>
      <c r="ID66" s="179"/>
      <c r="IE66" s="179"/>
      <c r="IF66" s="179"/>
      <c r="IG66" s="179"/>
      <c r="IH66" s="179"/>
      <c r="II66" s="179"/>
      <c r="IJ66" s="179"/>
      <c r="IK66" s="179"/>
      <c r="IL66" s="179"/>
      <c r="IM66" s="179"/>
      <c r="IN66" s="179"/>
    </row>
    <row r="67" spans="1:252">
      <c r="A67" s="193" t="s">
        <v>520</v>
      </c>
      <c r="B67" s="194">
        <f>0.89*B54*7*1.2</f>
        <v>5312.4456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79"/>
      <c r="GD67" s="179"/>
      <c r="GE67" s="179"/>
      <c r="GF67" s="179"/>
      <c r="GG67" s="179"/>
      <c r="GH67" s="179"/>
      <c r="GI67" s="179"/>
      <c r="GJ67" s="179"/>
      <c r="GK67" s="179"/>
      <c r="GL67" s="179"/>
      <c r="GM67" s="179"/>
      <c r="GN67" s="179"/>
      <c r="GO67" s="179"/>
      <c r="GP67" s="179"/>
      <c r="GQ67" s="179"/>
      <c r="GR67" s="179"/>
      <c r="GS67" s="179"/>
      <c r="GT67" s="179"/>
      <c r="GU67" s="179"/>
      <c r="GV67" s="179"/>
      <c r="GW67" s="179"/>
      <c r="GX67" s="179"/>
      <c r="GY67" s="179"/>
      <c r="GZ67" s="179"/>
      <c r="HA67" s="179"/>
      <c r="HB67" s="179"/>
      <c r="HC67" s="179"/>
      <c r="HD67" s="179"/>
      <c r="HE67" s="179"/>
      <c r="HF67" s="179"/>
      <c r="HG67" s="179"/>
      <c r="HH67" s="179"/>
      <c r="HI67" s="179"/>
      <c r="HJ67" s="179"/>
      <c r="HK67" s="179"/>
      <c r="HL67" s="179"/>
      <c r="HM67" s="179"/>
      <c r="HN67" s="179"/>
      <c r="HO67" s="179"/>
      <c r="HP67" s="179"/>
      <c r="HQ67" s="179"/>
      <c r="HR67" s="179"/>
      <c r="HS67" s="179"/>
      <c r="HT67" s="179"/>
      <c r="HU67" s="179"/>
      <c r="HV67" s="179"/>
      <c r="HW67" s="179"/>
      <c r="HX67" s="179"/>
      <c r="HY67" s="179"/>
      <c r="HZ67" s="179"/>
      <c r="IA67" s="179"/>
      <c r="IB67" s="179"/>
      <c r="IC67" s="179"/>
      <c r="ID67" s="179"/>
      <c r="IE67" s="179"/>
      <c r="IF67" s="179"/>
      <c r="IG67" s="179"/>
      <c r="IH67" s="179"/>
      <c r="II67" s="179"/>
      <c r="IJ67" s="179"/>
      <c r="IK67" s="179"/>
      <c r="IL67" s="179"/>
      <c r="IM67" s="179"/>
      <c r="IN67" s="179"/>
    </row>
    <row r="68" spans="1:252">
      <c r="A68" s="193" t="s">
        <v>519</v>
      </c>
      <c r="B68" s="194">
        <f>5.7*7*B54*1.1</f>
        <v>31188.234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79"/>
      <c r="FK68" s="179"/>
      <c r="FL68" s="179"/>
      <c r="FM68" s="179"/>
      <c r="FN68" s="179"/>
      <c r="FO68" s="179"/>
      <c r="FP68" s="179"/>
      <c r="FQ68" s="179"/>
      <c r="FR68" s="179"/>
      <c r="FS68" s="179"/>
      <c r="FT68" s="179"/>
      <c r="FU68" s="179"/>
      <c r="FV68" s="179"/>
      <c r="FW68" s="179"/>
      <c r="FX68" s="179"/>
      <c r="FY68" s="179"/>
      <c r="FZ68" s="179"/>
      <c r="GA68" s="179"/>
      <c r="GB68" s="179"/>
      <c r="GC68" s="179"/>
      <c r="GD68" s="179"/>
      <c r="GE68" s="179"/>
      <c r="GF68" s="179"/>
      <c r="GG68" s="179"/>
      <c r="GH68" s="179"/>
      <c r="GI68" s="179"/>
      <c r="GJ68" s="179"/>
      <c r="GK68" s="179"/>
      <c r="GL68" s="179"/>
      <c r="GM68" s="179"/>
      <c r="GN68" s="179"/>
      <c r="GO68" s="179"/>
      <c r="GP68" s="179"/>
      <c r="GQ68" s="179"/>
      <c r="GR68" s="179"/>
      <c r="GS68" s="179"/>
      <c r="GT68" s="179"/>
      <c r="GU68" s="179"/>
      <c r="GV68" s="179"/>
      <c r="GW68" s="179"/>
      <c r="GX68" s="179"/>
      <c r="GY68" s="179"/>
      <c r="GZ68" s="179"/>
      <c r="HA68" s="179"/>
      <c r="HB68" s="179"/>
      <c r="HC68" s="179"/>
      <c r="HD68" s="179"/>
      <c r="HE68" s="179"/>
      <c r="HF68" s="179"/>
      <c r="HG68" s="179"/>
      <c r="HH68" s="179"/>
      <c r="HI68" s="179"/>
      <c r="HJ68" s="179"/>
      <c r="HK68" s="179"/>
      <c r="HL68" s="179"/>
      <c r="HM68" s="179"/>
      <c r="HN68" s="179"/>
      <c r="HO68" s="179"/>
      <c r="HP68" s="179"/>
      <c r="HQ68" s="179"/>
      <c r="HR68" s="179"/>
      <c r="HS68" s="179"/>
      <c r="HT68" s="179"/>
      <c r="HU68" s="179"/>
      <c r="HV68" s="179"/>
      <c r="HW68" s="179"/>
      <c r="HX68" s="179"/>
      <c r="HY68" s="179"/>
      <c r="HZ68" s="179"/>
      <c r="IA68" s="179"/>
      <c r="IB68" s="179"/>
      <c r="IC68" s="179"/>
      <c r="ID68" s="179"/>
      <c r="IE68" s="179"/>
      <c r="IF68" s="179"/>
      <c r="IG68" s="179"/>
      <c r="IH68" s="179"/>
      <c r="II68" s="179"/>
      <c r="IJ68" s="179"/>
      <c r="IK68" s="179"/>
      <c r="IL68" s="179"/>
      <c r="IM68" s="179"/>
      <c r="IN68" s="179"/>
    </row>
    <row r="69" spans="1:252">
      <c r="A69" s="193" t="s">
        <v>600</v>
      </c>
      <c r="B69" s="194">
        <f>100*C51</f>
        <v>0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9"/>
      <c r="FI69" s="179"/>
      <c r="FJ69" s="179"/>
      <c r="FK69" s="179"/>
      <c r="FL69" s="179"/>
      <c r="FM69" s="179"/>
      <c r="FN69" s="179"/>
      <c r="FO69" s="179"/>
      <c r="FP69" s="179"/>
      <c r="FQ69" s="179"/>
      <c r="FR69" s="179"/>
      <c r="FS69" s="179"/>
      <c r="FT69" s="179"/>
      <c r="FU69" s="179"/>
      <c r="FV69" s="179"/>
      <c r="FW69" s="179"/>
      <c r="FX69" s="179"/>
      <c r="FY69" s="179"/>
      <c r="FZ69" s="179"/>
      <c r="GA69" s="179"/>
      <c r="GB69" s="179"/>
      <c r="GC69" s="179"/>
      <c r="GD69" s="179"/>
      <c r="GE69" s="179"/>
      <c r="GF69" s="179"/>
      <c r="GG69" s="179"/>
      <c r="GH69" s="179"/>
      <c r="GI69" s="179"/>
      <c r="GJ69" s="179"/>
      <c r="GK69" s="179"/>
      <c r="GL69" s="179"/>
      <c r="GM69" s="179"/>
      <c r="GN69" s="179"/>
      <c r="GO69" s="179"/>
      <c r="GP69" s="179"/>
      <c r="GQ69" s="179"/>
      <c r="GR69" s="179"/>
      <c r="GS69" s="179"/>
      <c r="GT69" s="179"/>
      <c r="GU69" s="179"/>
      <c r="GV69" s="179"/>
      <c r="GW69" s="179"/>
      <c r="GX69" s="179"/>
      <c r="GY69" s="179"/>
      <c r="GZ69" s="179"/>
      <c r="HA69" s="179"/>
      <c r="HB69" s="179"/>
      <c r="HC69" s="179"/>
      <c r="HD69" s="179"/>
      <c r="HE69" s="179"/>
      <c r="HF69" s="179"/>
      <c r="HG69" s="179"/>
      <c r="HH69" s="179"/>
      <c r="HI69" s="179"/>
      <c r="HJ69" s="179"/>
      <c r="HK69" s="179"/>
      <c r="HL69" s="179"/>
      <c r="HM69" s="179"/>
      <c r="HN69" s="179"/>
      <c r="HO69" s="179"/>
      <c r="HP69" s="179"/>
      <c r="HQ69" s="179"/>
      <c r="HR69" s="179"/>
      <c r="HS69" s="179"/>
      <c r="HT69" s="179"/>
      <c r="HU69" s="179"/>
      <c r="HV69" s="179"/>
      <c r="HW69" s="179"/>
      <c r="HX69" s="179"/>
      <c r="HY69" s="179"/>
      <c r="HZ69" s="179"/>
      <c r="IA69" s="179"/>
      <c r="IB69" s="179"/>
      <c r="IC69" s="179"/>
      <c r="ID69" s="179"/>
      <c r="IE69" s="179"/>
      <c r="IF69" s="179"/>
      <c r="IG69" s="179"/>
      <c r="IH69" s="179"/>
      <c r="II69" s="179"/>
      <c r="IJ69" s="179"/>
      <c r="IK69" s="179"/>
      <c r="IL69" s="179"/>
      <c r="IM69" s="179"/>
      <c r="IN69" s="179"/>
    </row>
    <row r="70" spans="1:252">
      <c r="A70" s="193" t="s">
        <v>802</v>
      </c>
      <c r="B70" s="194">
        <v>14973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79"/>
      <c r="EM70" s="179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79"/>
      <c r="FB70" s="179"/>
      <c r="FC70" s="179"/>
      <c r="FD70" s="179"/>
      <c r="FE70" s="179"/>
      <c r="FF70" s="179"/>
      <c r="FG70" s="179"/>
      <c r="FH70" s="179"/>
      <c r="FI70" s="179"/>
      <c r="FJ70" s="179"/>
      <c r="FK70" s="179"/>
      <c r="FL70" s="179"/>
      <c r="FM70" s="179"/>
      <c r="FN70" s="179"/>
      <c r="FO70" s="179"/>
      <c r="FP70" s="179"/>
      <c r="FQ70" s="179"/>
      <c r="FR70" s="179"/>
      <c r="FS70" s="179"/>
      <c r="FT70" s="179"/>
      <c r="FU70" s="179"/>
      <c r="FV70" s="179"/>
      <c r="FW70" s="179"/>
      <c r="FX70" s="179"/>
      <c r="FY70" s="179"/>
      <c r="FZ70" s="179"/>
      <c r="GA70" s="179"/>
      <c r="GB70" s="179"/>
      <c r="GC70" s="179"/>
      <c r="GD70" s="179"/>
      <c r="GE70" s="179"/>
      <c r="GF70" s="179"/>
      <c r="GG70" s="179"/>
      <c r="GH70" s="179"/>
      <c r="GI70" s="179"/>
      <c r="GJ70" s="179"/>
      <c r="GK70" s="179"/>
      <c r="GL70" s="179"/>
      <c r="GM70" s="179"/>
      <c r="GN70" s="179"/>
      <c r="GO70" s="179"/>
      <c r="GP70" s="179"/>
      <c r="GQ70" s="179"/>
      <c r="GR70" s="179"/>
      <c r="GS70" s="179"/>
      <c r="GT70" s="179"/>
      <c r="GU70" s="179"/>
      <c r="GV70" s="179"/>
      <c r="GW70" s="179"/>
      <c r="GX70" s="179"/>
      <c r="GY70" s="179"/>
      <c r="GZ70" s="179"/>
      <c r="HA70" s="179"/>
      <c r="HB70" s="179"/>
      <c r="HC70" s="179"/>
      <c r="HD70" s="179"/>
      <c r="HE70" s="179"/>
      <c r="HF70" s="179"/>
      <c r="HG70" s="179"/>
      <c r="HH70" s="179"/>
      <c r="HI70" s="179"/>
      <c r="HJ70" s="179"/>
      <c r="HK70" s="179"/>
      <c r="HL70" s="179"/>
      <c r="HM70" s="179"/>
      <c r="HN70" s="179"/>
      <c r="HO70" s="179"/>
      <c r="HP70" s="179"/>
      <c r="HQ70" s="179"/>
      <c r="HR70" s="179"/>
      <c r="HS70" s="179"/>
      <c r="HT70" s="179"/>
      <c r="HU70" s="179"/>
      <c r="HV70" s="179"/>
      <c r="HW70" s="179"/>
      <c r="HX70" s="179"/>
      <c r="HY70" s="179"/>
      <c r="HZ70" s="179"/>
      <c r="IA70" s="179"/>
      <c r="IB70" s="179"/>
      <c r="IC70" s="179"/>
      <c r="ID70" s="179"/>
      <c r="IE70" s="179"/>
      <c r="IF70" s="179"/>
      <c r="IG70" s="179"/>
      <c r="IH70" s="179"/>
      <c r="II70" s="179"/>
      <c r="IJ70" s="179"/>
      <c r="IK70" s="179"/>
      <c r="IL70" s="179"/>
      <c r="IM70" s="179"/>
      <c r="IN70" s="179"/>
    </row>
    <row r="71" spans="1:252">
      <c r="A71" s="193" t="s">
        <v>611</v>
      </c>
      <c r="B71" s="194">
        <f>0.02*7600*7*1.302*1.2</f>
        <v>1662.3935999999999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79"/>
      <c r="FK71" s="179"/>
      <c r="FL71" s="179"/>
      <c r="FM71" s="179"/>
      <c r="FN71" s="179"/>
      <c r="FO71" s="179"/>
      <c r="FP71" s="179"/>
      <c r="FQ71" s="179"/>
      <c r="FR71" s="179"/>
      <c r="FS71" s="179"/>
      <c r="FT71" s="179"/>
      <c r="FU71" s="179"/>
      <c r="FV71" s="179"/>
      <c r="FW71" s="179"/>
      <c r="FX71" s="179"/>
      <c r="FY71" s="179"/>
      <c r="FZ71" s="179"/>
      <c r="GA71" s="179"/>
      <c r="GB71" s="179"/>
      <c r="GC71" s="179"/>
      <c r="GD71" s="179"/>
      <c r="GE71" s="179"/>
      <c r="GF71" s="179"/>
      <c r="GG71" s="179"/>
      <c r="GH71" s="179"/>
      <c r="GI71" s="179"/>
      <c r="GJ71" s="179"/>
      <c r="GK71" s="179"/>
      <c r="GL71" s="179"/>
      <c r="GM71" s="179"/>
      <c r="GN71" s="179"/>
      <c r="GO71" s="179"/>
      <c r="GP71" s="179"/>
      <c r="GQ71" s="179"/>
      <c r="GR71" s="179"/>
      <c r="GS71" s="179"/>
      <c r="GT71" s="179"/>
      <c r="GU71" s="179"/>
      <c r="GV71" s="179"/>
      <c r="GW71" s="179"/>
      <c r="GX71" s="179"/>
      <c r="GY71" s="179"/>
      <c r="GZ71" s="179"/>
      <c r="HA71" s="179"/>
      <c r="HB71" s="179"/>
      <c r="HC71" s="179"/>
      <c r="HD71" s="179"/>
      <c r="HE71" s="179"/>
      <c r="HF71" s="179"/>
      <c r="HG71" s="179"/>
      <c r="HH71" s="179"/>
      <c r="HI71" s="179"/>
      <c r="HJ71" s="179"/>
      <c r="HK71" s="179"/>
      <c r="HL71" s="179"/>
      <c r="HM71" s="179"/>
      <c r="HN71" s="179"/>
      <c r="HO71" s="179"/>
      <c r="HP71" s="179"/>
      <c r="HQ71" s="179"/>
      <c r="HR71" s="179"/>
      <c r="HS71" s="179"/>
      <c r="HT71" s="179"/>
      <c r="HU71" s="179"/>
      <c r="HV71" s="179"/>
      <c r="HW71" s="179"/>
      <c r="HX71" s="179"/>
      <c r="HY71" s="179"/>
      <c r="HZ71" s="179"/>
      <c r="IA71" s="179"/>
      <c r="IB71" s="179"/>
      <c r="IC71" s="179"/>
      <c r="ID71" s="179"/>
      <c r="IE71" s="179"/>
      <c r="IF71" s="179"/>
      <c r="IG71" s="179"/>
      <c r="IH71" s="179"/>
      <c r="II71" s="179"/>
      <c r="IJ71" s="179"/>
      <c r="IK71" s="179"/>
      <c r="IL71" s="179"/>
      <c r="IM71" s="179"/>
      <c r="IN71" s="179"/>
    </row>
    <row r="72" spans="1:252">
      <c r="A72" s="193" t="s">
        <v>602</v>
      </c>
      <c r="B72" s="231">
        <f>B51</f>
        <v>273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79"/>
      <c r="FK72" s="179"/>
      <c r="FL72" s="179"/>
      <c r="FM72" s="179"/>
      <c r="FN72" s="179"/>
      <c r="FO72" s="179"/>
      <c r="FP72" s="179"/>
      <c r="FQ72" s="179"/>
      <c r="FR72" s="179"/>
      <c r="FS72" s="179"/>
      <c r="FT72" s="179"/>
      <c r="FU72" s="179"/>
      <c r="FV72" s="179"/>
      <c r="FW72" s="179"/>
      <c r="FX72" s="179"/>
      <c r="FY72" s="179"/>
      <c r="FZ72" s="179"/>
      <c r="GA72" s="179"/>
      <c r="GB72" s="179"/>
      <c r="GC72" s="179"/>
      <c r="GD72" s="179"/>
      <c r="GE72" s="179"/>
      <c r="GF72" s="179"/>
      <c r="GG72" s="179"/>
      <c r="GH72" s="179"/>
      <c r="GI72" s="179"/>
      <c r="GJ72" s="179"/>
      <c r="GK72" s="179"/>
      <c r="GL72" s="179"/>
      <c r="GM72" s="179"/>
      <c r="GN72" s="179"/>
      <c r="GO72" s="179"/>
      <c r="GP72" s="179"/>
      <c r="GQ72" s="179"/>
      <c r="GR72" s="179"/>
      <c r="GS72" s="179"/>
      <c r="GT72" s="179"/>
      <c r="GU72" s="179"/>
      <c r="GV72" s="179"/>
      <c r="GW72" s="179"/>
      <c r="GX72" s="179"/>
      <c r="GY72" s="179"/>
      <c r="GZ72" s="179"/>
      <c r="HA72" s="179"/>
      <c r="HB72" s="179"/>
      <c r="HC72" s="179"/>
      <c r="HD72" s="179"/>
      <c r="HE72" s="179"/>
      <c r="HF72" s="179"/>
      <c r="HG72" s="179"/>
      <c r="HH72" s="179"/>
      <c r="HI72" s="179"/>
      <c r="HJ72" s="179"/>
      <c r="HK72" s="179"/>
      <c r="HL72" s="179"/>
      <c r="HM72" s="179"/>
      <c r="HN72" s="179"/>
      <c r="HO72" s="179"/>
      <c r="HP72" s="179"/>
      <c r="HQ72" s="179"/>
      <c r="HR72" s="179"/>
      <c r="HS72" s="179"/>
      <c r="HT72" s="179"/>
      <c r="HU72" s="179"/>
      <c r="HV72" s="179"/>
      <c r="HW72" s="179"/>
      <c r="HX72" s="179"/>
      <c r="HY72" s="179"/>
      <c r="HZ72" s="179"/>
      <c r="IA72" s="179"/>
      <c r="IB72" s="179"/>
      <c r="IC72" s="179"/>
      <c r="ID72" s="179"/>
      <c r="IE72" s="179"/>
      <c r="IF72" s="179"/>
      <c r="IG72" s="179"/>
      <c r="IH72" s="179"/>
      <c r="II72" s="179"/>
      <c r="IJ72" s="179"/>
      <c r="IK72" s="179"/>
      <c r="IL72" s="179"/>
      <c r="IM72" s="179"/>
      <c r="IN72" s="179"/>
    </row>
    <row r="73" spans="1:252">
      <c r="A73" s="193" t="s">
        <v>603</v>
      </c>
      <c r="B73" s="194">
        <f>B72*160*1.302</f>
        <v>56871.360000000001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  <c r="FH73" s="179"/>
      <c r="FI73" s="179"/>
      <c r="FJ73" s="179"/>
      <c r="FK73" s="179"/>
      <c r="FL73" s="179"/>
      <c r="FM73" s="179"/>
      <c r="FN73" s="179"/>
      <c r="FO73" s="179"/>
      <c r="FP73" s="179"/>
      <c r="FQ73" s="179"/>
      <c r="FR73" s="179"/>
      <c r="FS73" s="179"/>
      <c r="FT73" s="179"/>
      <c r="FU73" s="179"/>
      <c r="FV73" s="179"/>
      <c r="FW73" s="179"/>
      <c r="FX73" s="179"/>
      <c r="FY73" s="179"/>
      <c r="FZ73" s="179"/>
      <c r="GA73" s="179"/>
      <c r="GB73" s="179"/>
      <c r="GC73" s="179"/>
      <c r="GD73" s="179"/>
      <c r="GE73" s="179"/>
      <c r="GF73" s="179"/>
      <c r="GG73" s="179"/>
      <c r="GH73" s="179"/>
      <c r="GI73" s="179"/>
      <c r="GJ73" s="179"/>
      <c r="GK73" s="179"/>
      <c r="GL73" s="179"/>
      <c r="GM73" s="179"/>
      <c r="GN73" s="179"/>
      <c r="GO73" s="179"/>
      <c r="GP73" s="179"/>
      <c r="GQ73" s="179"/>
      <c r="GR73" s="179"/>
      <c r="GS73" s="179"/>
      <c r="GT73" s="179"/>
      <c r="GU73" s="179"/>
      <c r="GV73" s="179"/>
      <c r="GW73" s="179"/>
      <c r="GX73" s="179"/>
      <c r="GY73" s="179"/>
      <c r="GZ73" s="179"/>
      <c r="HA73" s="179"/>
      <c r="HB73" s="179"/>
      <c r="HC73" s="179"/>
      <c r="HD73" s="179"/>
      <c r="HE73" s="179"/>
      <c r="HF73" s="179"/>
      <c r="HG73" s="179"/>
      <c r="HH73" s="179"/>
      <c r="HI73" s="179"/>
      <c r="HJ73" s="179"/>
      <c r="HK73" s="179"/>
      <c r="HL73" s="179"/>
      <c r="HM73" s="179"/>
      <c r="HN73" s="179"/>
      <c r="HO73" s="179"/>
      <c r="HP73" s="179"/>
      <c r="HQ73" s="179"/>
      <c r="HR73" s="179"/>
      <c r="HS73" s="179"/>
      <c r="HT73" s="179"/>
      <c r="HU73" s="179"/>
      <c r="HV73" s="179"/>
      <c r="HW73" s="179"/>
      <c r="HX73" s="179"/>
      <c r="HY73" s="179"/>
      <c r="HZ73" s="179"/>
      <c r="IA73" s="179"/>
      <c r="IB73" s="179"/>
      <c r="IC73" s="179"/>
      <c r="ID73" s="179"/>
      <c r="IE73" s="179"/>
      <c r="IF73" s="179"/>
      <c r="IG73" s="179"/>
      <c r="IH73" s="179"/>
      <c r="II73" s="179"/>
      <c r="IJ73" s="179"/>
      <c r="IK73" s="179"/>
      <c r="IL73" s="179"/>
      <c r="IM73" s="179"/>
      <c r="IN73" s="179"/>
    </row>
    <row r="74" spans="1:252">
      <c r="A74" s="193" t="s">
        <v>724</v>
      </c>
      <c r="B74" s="194">
        <v>5593.67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9"/>
      <c r="GL74" s="179"/>
      <c r="GM74" s="179"/>
      <c r="GN74" s="179"/>
      <c r="GO74" s="179"/>
      <c r="GP74" s="179"/>
      <c r="GQ74" s="179"/>
      <c r="GR74" s="179"/>
      <c r="GS74" s="179"/>
      <c r="GT74" s="179"/>
      <c r="GU74" s="179"/>
      <c r="GV74" s="179"/>
      <c r="GW74" s="179"/>
      <c r="GX74" s="179"/>
      <c r="GY74" s="179"/>
      <c r="GZ74" s="179"/>
      <c r="HA74" s="179"/>
      <c r="HB74" s="179"/>
      <c r="HC74" s="179"/>
      <c r="HD74" s="179"/>
      <c r="HE74" s="179"/>
      <c r="HF74" s="179"/>
      <c r="HG74" s="179"/>
      <c r="HH74" s="179"/>
      <c r="HI74" s="179"/>
      <c r="HJ74" s="179"/>
      <c r="HK74" s="179"/>
      <c r="HL74" s="179"/>
      <c r="HM74" s="179"/>
      <c r="HN74" s="179"/>
      <c r="HO74" s="179"/>
      <c r="HP74" s="179"/>
      <c r="HQ74" s="179"/>
      <c r="HR74" s="179"/>
      <c r="HS74" s="179"/>
      <c r="HT74" s="179"/>
      <c r="HU74" s="179"/>
      <c r="HV74" s="179"/>
      <c r="HW74" s="179"/>
      <c r="HX74" s="179"/>
      <c r="HY74" s="179"/>
      <c r="HZ74" s="179"/>
      <c r="IA74" s="179"/>
      <c r="IB74" s="179"/>
      <c r="IC74" s="179"/>
      <c r="ID74" s="179"/>
      <c r="IE74" s="179"/>
      <c r="IF74" s="179"/>
      <c r="IG74" s="179"/>
      <c r="IH74" s="179"/>
      <c r="II74" s="179"/>
      <c r="IJ74" s="179"/>
      <c r="IK74" s="179"/>
      <c r="IL74" s="179"/>
      <c r="IM74" s="179"/>
      <c r="IN74" s="179"/>
    </row>
    <row r="75" spans="1:252">
      <c r="A75" s="261" t="s">
        <v>806</v>
      </c>
      <c r="B75" s="194">
        <v>42173.99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79"/>
      <c r="FK75" s="179"/>
      <c r="FL75" s="179"/>
      <c r="FM75" s="179"/>
      <c r="FN75" s="179"/>
      <c r="FO75" s="179"/>
      <c r="FP75" s="179"/>
      <c r="FQ75" s="179"/>
      <c r="FR75" s="179"/>
      <c r="FS75" s="179"/>
      <c r="FT75" s="179"/>
      <c r="FU75" s="179"/>
      <c r="FV75" s="179"/>
      <c r="FW75" s="179"/>
      <c r="FX75" s="179"/>
      <c r="FY75" s="179"/>
      <c r="FZ75" s="179"/>
      <c r="GA75" s="179"/>
      <c r="GB75" s="179"/>
      <c r="GC75" s="179"/>
      <c r="GD75" s="179"/>
      <c r="GE75" s="179"/>
      <c r="GF75" s="179"/>
      <c r="GG75" s="179"/>
      <c r="GH75" s="179"/>
      <c r="GI75" s="179"/>
      <c r="GJ75" s="179"/>
      <c r="GK75" s="179"/>
      <c r="GL75" s="179"/>
      <c r="GM75" s="179"/>
      <c r="GN75" s="179"/>
      <c r="GO75" s="179"/>
      <c r="GP75" s="179"/>
      <c r="GQ75" s="179"/>
      <c r="GR75" s="179"/>
      <c r="GS75" s="179"/>
      <c r="GT75" s="179"/>
      <c r="GU75" s="179"/>
      <c r="GV75" s="179"/>
      <c r="GW75" s="179"/>
      <c r="GX75" s="179"/>
      <c r="GY75" s="179"/>
      <c r="GZ75" s="179"/>
      <c r="HA75" s="179"/>
      <c r="HB75" s="179"/>
      <c r="HC75" s="179"/>
      <c r="HD75" s="179"/>
      <c r="HE75" s="179"/>
      <c r="HF75" s="179"/>
      <c r="HG75" s="179"/>
      <c r="HH75" s="179"/>
      <c r="HI75" s="179"/>
      <c r="HJ75" s="179"/>
      <c r="HK75" s="179"/>
      <c r="HL75" s="179"/>
      <c r="HM75" s="179"/>
      <c r="HN75" s="179"/>
      <c r="HO75" s="179"/>
      <c r="HP75" s="179"/>
      <c r="HQ75" s="179"/>
      <c r="HR75" s="179"/>
      <c r="HS75" s="179"/>
      <c r="HT75" s="179"/>
      <c r="HU75" s="179"/>
      <c r="HV75" s="179"/>
      <c r="HW75" s="179"/>
      <c r="HX75" s="179"/>
      <c r="HY75" s="179"/>
      <c r="HZ75" s="179"/>
      <c r="IA75" s="179"/>
      <c r="IB75" s="179"/>
      <c r="IC75" s="179"/>
      <c r="ID75" s="179"/>
      <c r="IE75" s="179"/>
      <c r="IF75" s="179"/>
      <c r="IG75" s="179"/>
      <c r="IH75" s="179"/>
      <c r="II75" s="179"/>
      <c r="IJ75" s="179"/>
      <c r="IK75" s="179"/>
      <c r="IL75" s="179"/>
      <c r="IM75" s="179"/>
      <c r="IN75" s="179"/>
    </row>
    <row r="76" spans="1:252" ht="30">
      <c r="A76" s="261" t="s">
        <v>804</v>
      </c>
      <c r="B76" s="194">
        <f>B61-B63+B75</f>
        <v>-3574.0371999999988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  <c r="DP76" s="179"/>
      <c r="DQ76" s="179"/>
      <c r="DR76" s="179"/>
      <c r="DS76" s="179"/>
      <c r="DT76" s="179"/>
      <c r="DU76" s="179"/>
      <c r="DV76" s="179"/>
      <c r="DW76" s="179"/>
      <c r="DX76" s="179"/>
      <c r="DY76" s="179"/>
      <c r="DZ76" s="179"/>
      <c r="EA76" s="179"/>
      <c r="EB76" s="179"/>
      <c r="EC76" s="179"/>
      <c r="ED76" s="179"/>
      <c r="EE76" s="179"/>
      <c r="EF76" s="179"/>
      <c r="EG76" s="179"/>
      <c r="EH76" s="179"/>
      <c r="EI76" s="179"/>
      <c r="EJ76" s="179"/>
      <c r="EK76" s="179"/>
      <c r="EL76" s="179"/>
      <c r="EM76" s="179"/>
      <c r="EN76" s="179"/>
      <c r="EO76" s="179"/>
      <c r="EP76" s="179"/>
      <c r="EQ76" s="179"/>
      <c r="ER76" s="179"/>
      <c r="ES76" s="179"/>
      <c r="ET76" s="179"/>
      <c r="EU76" s="179"/>
      <c r="EV76" s="179"/>
      <c r="EW76" s="179"/>
      <c r="EX76" s="179"/>
      <c r="EY76" s="179"/>
      <c r="EZ76" s="179"/>
      <c r="FA76" s="179"/>
      <c r="FB76" s="179"/>
      <c r="FC76" s="179"/>
      <c r="FD76" s="179"/>
      <c r="FE76" s="179"/>
      <c r="FF76" s="179"/>
      <c r="FG76" s="179"/>
      <c r="FH76" s="179"/>
      <c r="FI76" s="179"/>
      <c r="FJ76" s="179"/>
      <c r="FK76" s="179"/>
      <c r="FL76" s="179"/>
      <c r="FM76" s="179"/>
      <c r="FN76" s="179"/>
      <c r="FO76" s="179"/>
      <c r="FP76" s="179"/>
      <c r="FQ76" s="179"/>
      <c r="FR76" s="179"/>
      <c r="FS76" s="179"/>
      <c r="FT76" s="179"/>
      <c r="FU76" s="179"/>
      <c r="FV76" s="179"/>
      <c r="FW76" s="179"/>
      <c r="FX76" s="179"/>
      <c r="FY76" s="179"/>
      <c r="FZ76" s="179"/>
      <c r="GA76" s="179"/>
      <c r="GB76" s="179"/>
      <c r="GC76" s="179"/>
      <c r="GD76" s="179"/>
      <c r="GE76" s="179"/>
      <c r="GF76" s="179"/>
      <c r="GG76" s="179"/>
      <c r="GH76" s="179"/>
      <c r="GI76" s="179"/>
      <c r="GJ76" s="179"/>
      <c r="GK76" s="179"/>
      <c r="GL76" s="179"/>
      <c r="GM76" s="179"/>
      <c r="GN76" s="179"/>
      <c r="GO76" s="179"/>
      <c r="GP76" s="179"/>
      <c r="GQ76" s="179"/>
      <c r="GR76" s="179"/>
      <c r="GS76" s="179"/>
      <c r="GT76" s="179"/>
      <c r="GU76" s="179"/>
      <c r="GV76" s="179"/>
      <c r="GW76" s="179"/>
      <c r="GX76" s="179"/>
      <c r="GY76" s="179"/>
      <c r="GZ76" s="179"/>
      <c r="HA76" s="179"/>
      <c r="HB76" s="179"/>
      <c r="HC76" s="179"/>
      <c r="HD76" s="179"/>
      <c r="HE76" s="179"/>
      <c r="HF76" s="179"/>
      <c r="HG76" s="179"/>
      <c r="HH76" s="179"/>
      <c r="HI76" s="179"/>
      <c r="HJ76" s="179"/>
      <c r="HK76" s="179"/>
      <c r="HL76" s="179"/>
      <c r="HM76" s="179"/>
      <c r="HN76" s="179"/>
      <c r="HO76" s="179"/>
      <c r="HP76" s="179"/>
      <c r="HQ76" s="179"/>
      <c r="HR76" s="179"/>
      <c r="HS76" s="179"/>
      <c r="HT76" s="179"/>
      <c r="HU76" s="179"/>
      <c r="HV76" s="179"/>
      <c r="HW76" s="179"/>
      <c r="HX76" s="179"/>
      <c r="HY76" s="179"/>
      <c r="HZ76" s="179"/>
      <c r="IA76" s="179"/>
      <c r="IB76" s="179"/>
      <c r="IC76" s="179"/>
      <c r="ID76" s="179"/>
      <c r="IE76" s="179"/>
      <c r="IF76" s="179"/>
      <c r="IG76" s="179"/>
      <c r="IH76" s="179"/>
      <c r="II76" s="179"/>
      <c r="IJ76" s="179"/>
      <c r="IK76" s="179"/>
      <c r="IL76" s="179"/>
      <c r="IM76" s="179"/>
      <c r="IN76" s="179"/>
    </row>
    <row r="77" spans="1:252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9"/>
      <c r="EF77" s="179"/>
      <c r="EG77" s="179"/>
      <c r="EH77" s="179"/>
      <c r="EI77" s="179"/>
      <c r="EJ77" s="179"/>
      <c r="EK77" s="179"/>
      <c r="EL77" s="179"/>
      <c r="EM77" s="179"/>
      <c r="EN77" s="179"/>
      <c r="EO77" s="179"/>
      <c r="EP77" s="179"/>
      <c r="EQ77" s="179"/>
      <c r="ER77" s="179"/>
      <c r="ES77" s="179"/>
      <c r="ET77" s="179"/>
      <c r="EU77" s="179"/>
      <c r="EV77" s="179"/>
      <c r="EW77" s="179"/>
      <c r="EX77" s="179"/>
      <c r="EY77" s="179"/>
      <c r="EZ77" s="179"/>
      <c r="FA77" s="179"/>
      <c r="FB77" s="179"/>
      <c r="FC77" s="179"/>
      <c r="FD77" s="179"/>
      <c r="FE77" s="179"/>
      <c r="FF77" s="179"/>
      <c r="FG77" s="179"/>
      <c r="FH77" s="179"/>
      <c r="FI77" s="179"/>
      <c r="FJ77" s="179"/>
      <c r="FK77" s="179"/>
      <c r="FL77" s="179"/>
      <c r="FM77" s="179"/>
      <c r="FN77" s="179"/>
      <c r="FO77" s="179"/>
      <c r="FP77" s="179"/>
      <c r="FQ77" s="179"/>
      <c r="FR77" s="179"/>
      <c r="FS77" s="179"/>
      <c r="FT77" s="179"/>
      <c r="FU77" s="179"/>
      <c r="FV77" s="179"/>
      <c r="FW77" s="179"/>
      <c r="FX77" s="179"/>
      <c r="FY77" s="179"/>
      <c r="FZ77" s="179"/>
      <c r="GA77" s="179"/>
      <c r="GB77" s="179"/>
      <c r="GC77" s="179"/>
      <c r="GD77" s="179"/>
      <c r="GE77" s="179"/>
      <c r="GF77" s="179"/>
      <c r="GG77" s="179"/>
      <c r="GH77" s="179"/>
      <c r="GI77" s="179"/>
      <c r="GJ77" s="179"/>
      <c r="GK77" s="179"/>
      <c r="GL77" s="179"/>
      <c r="GM77" s="179"/>
      <c r="GN77" s="179"/>
      <c r="GO77" s="179"/>
      <c r="GP77" s="179"/>
      <c r="GQ77" s="179"/>
      <c r="GR77" s="179"/>
      <c r="GS77" s="179"/>
      <c r="GT77" s="179"/>
      <c r="GU77" s="179"/>
      <c r="GV77" s="179"/>
      <c r="GW77" s="179"/>
      <c r="GX77" s="179"/>
      <c r="GY77" s="179"/>
      <c r="GZ77" s="179"/>
      <c r="HA77" s="179"/>
      <c r="HB77" s="179"/>
      <c r="HC77" s="179"/>
      <c r="HD77" s="179"/>
      <c r="HE77" s="179"/>
      <c r="HF77" s="179"/>
      <c r="HG77" s="179"/>
      <c r="HH77" s="179"/>
      <c r="HI77" s="179"/>
      <c r="HJ77" s="179"/>
      <c r="HK77" s="179"/>
      <c r="HL77" s="179"/>
      <c r="HM77" s="179"/>
      <c r="HN77" s="179"/>
      <c r="HO77" s="179"/>
      <c r="HP77" s="179"/>
      <c r="HQ77" s="179"/>
      <c r="HR77" s="179"/>
      <c r="HS77" s="179"/>
      <c r="HT77" s="179"/>
      <c r="HU77" s="179"/>
      <c r="HV77" s="179"/>
      <c r="HW77" s="179"/>
      <c r="HX77" s="179"/>
      <c r="HY77" s="179"/>
      <c r="HZ77" s="179"/>
      <c r="IA77" s="179"/>
      <c r="IB77" s="179"/>
      <c r="IC77" s="179"/>
      <c r="ID77" s="179"/>
      <c r="IE77" s="179"/>
      <c r="IF77" s="179"/>
      <c r="IG77" s="179"/>
      <c r="IH77" s="179"/>
      <c r="II77" s="179"/>
      <c r="IJ77" s="179"/>
      <c r="IK77" s="179"/>
      <c r="IL77" s="179"/>
      <c r="IM77" s="179"/>
      <c r="IN77" s="179"/>
    </row>
    <row r="78" spans="1:252">
      <c r="A78" s="233" t="s">
        <v>605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79"/>
      <c r="EM78" s="179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79"/>
      <c r="FB78" s="179"/>
      <c r="FC78" s="179"/>
      <c r="FD78" s="179"/>
      <c r="FE78" s="179"/>
      <c r="FF78" s="179"/>
      <c r="FG78" s="179"/>
      <c r="FH78" s="179"/>
      <c r="FI78" s="179"/>
      <c r="FJ78" s="179"/>
      <c r="FK78" s="179"/>
      <c r="FL78" s="179"/>
      <c r="FM78" s="179"/>
      <c r="FN78" s="179"/>
      <c r="FO78" s="179"/>
      <c r="FP78" s="179"/>
      <c r="FQ78" s="179"/>
      <c r="FR78" s="179"/>
      <c r="FS78" s="179"/>
      <c r="FT78" s="179"/>
      <c r="FU78" s="179"/>
      <c r="FV78" s="179"/>
      <c r="FW78" s="179"/>
      <c r="FX78" s="179"/>
      <c r="FY78" s="179"/>
      <c r="FZ78" s="179"/>
      <c r="GA78" s="179"/>
      <c r="GB78" s="179"/>
      <c r="GC78" s="179"/>
      <c r="GD78" s="179"/>
      <c r="GE78" s="179"/>
      <c r="GF78" s="179"/>
      <c r="GG78" s="179"/>
      <c r="GH78" s="179"/>
      <c r="GI78" s="179"/>
      <c r="GJ78" s="179"/>
      <c r="GK78" s="179"/>
      <c r="GL78" s="179"/>
      <c r="GM78" s="179"/>
      <c r="GN78" s="179"/>
      <c r="GO78" s="179"/>
      <c r="GP78" s="179"/>
      <c r="GQ78" s="179"/>
      <c r="GR78" s="179"/>
      <c r="GS78" s="179"/>
      <c r="GT78" s="179"/>
      <c r="GU78" s="179"/>
      <c r="GV78" s="179"/>
      <c r="GW78" s="179"/>
      <c r="GX78" s="179"/>
      <c r="GY78" s="179"/>
      <c r="GZ78" s="179"/>
      <c r="HA78" s="179"/>
      <c r="HB78" s="179"/>
      <c r="HC78" s="179"/>
      <c r="HD78" s="179"/>
      <c r="HE78" s="179"/>
      <c r="HF78" s="179"/>
      <c r="HG78" s="179"/>
      <c r="HH78" s="179"/>
      <c r="HI78" s="179"/>
      <c r="HJ78" s="179"/>
      <c r="HK78" s="179"/>
      <c r="HL78" s="179"/>
      <c r="HM78" s="179"/>
      <c r="HN78" s="179"/>
      <c r="HO78" s="179"/>
      <c r="HP78" s="179"/>
      <c r="HQ78" s="179"/>
      <c r="HR78" s="179"/>
      <c r="HS78" s="179"/>
      <c r="HT78" s="179"/>
      <c r="HU78" s="179"/>
      <c r="HV78" s="179"/>
      <c r="HW78" s="179"/>
      <c r="HX78" s="179"/>
      <c r="HY78" s="179"/>
      <c r="HZ78" s="179"/>
      <c r="IA78" s="179"/>
      <c r="IB78" s="179"/>
      <c r="IC78" s="179"/>
      <c r="ID78" s="179"/>
      <c r="IE78" s="179"/>
      <c r="IF78" s="179"/>
      <c r="IG78" s="179"/>
      <c r="IH78" s="179"/>
      <c r="II78" s="179"/>
      <c r="IJ78" s="179"/>
      <c r="IK78" s="179"/>
      <c r="IL78" s="179"/>
      <c r="IM78" s="179"/>
      <c r="IN78" s="179"/>
    </row>
    <row r="80" spans="1:252" s="197" customFormat="1" ht="40.5" customHeight="1">
      <c r="A80" s="434" t="s">
        <v>1582</v>
      </c>
      <c r="IR80" s="75"/>
    </row>
    <row r="81" spans="1:252" s="230" customFormat="1" ht="40.5" customHeight="1">
      <c r="A81" s="426" t="s">
        <v>654</v>
      </c>
      <c r="B81" s="391" t="s">
        <v>1132</v>
      </c>
      <c r="C81" s="427" t="s">
        <v>1134</v>
      </c>
      <c r="IR81" s="73"/>
    </row>
    <row r="82" spans="1:252" s="73" customFormat="1">
      <c r="A82" s="424" t="s">
        <v>593</v>
      </c>
      <c r="B82" s="428">
        <v>710.6</v>
      </c>
      <c r="C82" s="193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  <c r="FH82" s="230"/>
      <c r="FI82" s="230"/>
      <c r="FJ82" s="230"/>
      <c r="FK82" s="230"/>
      <c r="FL82" s="230"/>
      <c r="FM82" s="230"/>
      <c r="FN82" s="230"/>
      <c r="FO82" s="230"/>
      <c r="FP82" s="230"/>
      <c r="FQ82" s="230"/>
      <c r="FR82" s="230"/>
      <c r="FS82" s="230"/>
      <c r="FT82" s="230"/>
      <c r="FU82" s="230"/>
      <c r="FV82" s="230"/>
      <c r="FW82" s="230"/>
      <c r="FX82" s="230"/>
      <c r="FY82" s="230"/>
      <c r="FZ82" s="230"/>
      <c r="GA82" s="230"/>
      <c r="GB82" s="230"/>
      <c r="GC82" s="230"/>
      <c r="GD82" s="230"/>
      <c r="GE82" s="230"/>
      <c r="GF82" s="230"/>
      <c r="GG82" s="230"/>
      <c r="GH82" s="230"/>
      <c r="GI82" s="230"/>
      <c r="GJ82" s="230"/>
      <c r="GK82" s="230"/>
      <c r="GL82" s="230"/>
      <c r="GM82" s="230"/>
      <c r="GN82" s="230"/>
      <c r="GO82" s="230"/>
      <c r="GP82" s="230"/>
      <c r="GQ82" s="230"/>
      <c r="GR82" s="230"/>
      <c r="GS82" s="230"/>
      <c r="GT82" s="230"/>
      <c r="GU82" s="230"/>
      <c r="GV82" s="230"/>
      <c r="GW82" s="230"/>
      <c r="GX82" s="230"/>
      <c r="GY82" s="230"/>
      <c r="GZ82" s="230"/>
      <c r="HA82" s="230"/>
      <c r="HB82" s="230"/>
      <c r="HC82" s="230"/>
      <c r="HD82" s="230"/>
      <c r="HE82" s="230"/>
      <c r="HF82" s="230"/>
      <c r="HG82" s="230"/>
      <c r="HH82" s="230"/>
      <c r="HI82" s="230"/>
      <c r="HJ82" s="230"/>
      <c r="HK82" s="230"/>
      <c r="HL82" s="230"/>
      <c r="HM82" s="230"/>
      <c r="HN82" s="230"/>
      <c r="HO82" s="230"/>
      <c r="HP82" s="230"/>
      <c r="HQ82" s="230"/>
      <c r="HR82" s="230"/>
      <c r="HS82" s="230"/>
      <c r="HT82" s="230"/>
      <c r="HU82" s="230"/>
      <c r="HV82" s="230"/>
      <c r="HW82" s="230"/>
      <c r="HX82" s="230"/>
      <c r="HY82" s="230"/>
      <c r="HZ82" s="230"/>
      <c r="IA82" s="230"/>
      <c r="IB82" s="230"/>
      <c r="IC82" s="230"/>
      <c r="ID82" s="230"/>
      <c r="IE82" s="230"/>
      <c r="IF82" s="230"/>
      <c r="IG82" s="230"/>
      <c r="IH82" s="230"/>
      <c r="II82" s="230"/>
      <c r="IJ82" s="230"/>
      <c r="IK82" s="230"/>
      <c r="IL82" s="230"/>
      <c r="IM82" s="230"/>
      <c r="IN82" s="230"/>
      <c r="IO82" s="230"/>
      <c r="IP82" s="230"/>
      <c r="IQ82" s="230"/>
    </row>
    <row r="83" spans="1:252" s="75" customFormat="1">
      <c r="A83" s="424" t="s">
        <v>594</v>
      </c>
      <c r="B83" s="425">
        <v>17.829999999999998</v>
      </c>
      <c r="C83" s="193">
        <f>C93+C94+C95+C96+C98+C99+C101+C104+C97</f>
        <v>15.999999999999998</v>
      </c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  <c r="EN83" s="197"/>
      <c r="EO83" s="197"/>
      <c r="EP83" s="197"/>
      <c r="EQ83" s="197"/>
      <c r="ER83" s="197"/>
      <c r="ES83" s="197"/>
      <c r="ET83" s="197"/>
      <c r="EU83" s="197"/>
      <c r="EV83" s="197"/>
      <c r="EW83" s="197"/>
      <c r="EX83" s="197"/>
      <c r="EY83" s="197"/>
      <c r="EZ83" s="197"/>
      <c r="FA83" s="197"/>
      <c r="FB83" s="197"/>
      <c r="FC83" s="197"/>
      <c r="FD83" s="197"/>
      <c r="FE83" s="197"/>
      <c r="FF83" s="197"/>
      <c r="FG83" s="197"/>
      <c r="FH83" s="197"/>
      <c r="FI83" s="197"/>
      <c r="FJ83" s="197"/>
      <c r="FK83" s="197"/>
      <c r="FL83" s="197"/>
      <c r="FM83" s="197"/>
      <c r="FN83" s="197"/>
      <c r="FO83" s="197"/>
      <c r="FP83" s="197"/>
      <c r="FQ83" s="197"/>
      <c r="FR83" s="197"/>
      <c r="FS83" s="197"/>
      <c r="FT83" s="197"/>
      <c r="FU83" s="197"/>
      <c r="FV83" s="197"/>
      <c r="FW83" s="197"/>
      <c r="FX83" s="197"/>
      <c r="FY83" s="197"/>
      <c r="FZ83" s="197"/>
      <c r="GA83" s="197"/>
      <c r="GB83" s="197"/>
      <c r="GC83" s="197"/>
      <c r="GD83" s="197"/>
      <c r="GE83" s="197"/>
      <c r="GF83" s="197"/>
      <c r="GG83" s="197"/>
      <c r="GH83" s="197"/>
      <c r="GI83" s="197"/>
      <c r="GJ83" s="197"/>
      <c r="GK83" s="197"/>
      <c r="GL83" s="197"/>
      <c r="GM83" s="197"/>
      <c r="GN83" s="197"/>
      <c r="GO83" s="197"/>
      <c r="GP83" s="197"/>
      <c r="GQ83" s="197"/>
      <c r="GR83" s="197"/>
      <c r="GS83" s="197"/>
      <c r="GT83" s="197"/>
      <c r="GU83" s="197"/>
      <c r="GV83" s="197"/>
      <c r="GW83" s="197"/>
      <c r="GX83" s="197"/>
      <c r="GY83" s="197"/>
      <c r="GZ83" s="197"/>
      <c r="HA83" s="197"/>
      <c r="HB83" s="197"/>
      <c r="HC83" s="197"/>
      <c r="HD83" s="197"/>
      <c r="HE83" s="197"/>
      <c r="HF83" s="197"/>
      <c r="HG83" s="197"/>
      <c r="HH83" s="197"/>
      <c r="HI83" s="197"/>
      <c r="HJ83" s="197"/>
      <c r="HK83" s="197"/>
      <c r="HL83" s="197"/>
      <c r="HM83" s="197"/>
      <c r="HN83" s="197"/>
      <c r="HO83" s="197"/>
      <c r="HP83" s="197"/>
      <c r="HQ83" s="197"/>
      <c r="HR83" s="197"/>
      <c r="HS83" s="197"/>
      <c r="HT83" s="197"/>
      <c r="HU83" s="197"/>
      <c r="HV83" s="197"/>
      <c r="HW83" s="197"/>
      <c r="HX83" s="197"/>
      <c r="HY83" s="197"/>
      <c r="HZ83" s="197"/>
      <c r="IA83" s="197"/>
      <c r="IB83" s="197"/>
      <c r="IC83" s="197"/>
      <c r="ID83" s="197"/>
      <c r="IE83" s="197"/>
      <c r="IF83" s="197"/>
      <c r="IG83" s="197"/>
      <c r="IH83" s="197"/>
      <c r="II83" s="197"/>
      <c r="IJ83" s="197"/>
      <c r="IK83" s="197"/>
      <c r="IL83" s="197"/>
      <c r="IM83" s="197"/>
      <c r="IN83" s="197"/>
      <c r="IO83" s="197"/>
      <c r="IP83" s="197"/>
      <c r="IQ83" s="197"/>
    </row>
    <row r="84" spans="1:252" s="75" customFormat="1">
      <c r="A84" s="422" t="s">
        <v>711</v>
      </c>
      <c r="B84" s="423">
        <v>4351.6099999999997</v>
      </c>
      <c r="C84" s="193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  <c r="EN84" s="197"/>
      <c r="EO84" s="197"/>
      <c r="EP84" s="197"/>
      <c r="EQ84" s="197"/>
      <c r="ER84" s="197"/>
      <c r="ES84" s="197"/>
      <c r="ET84" s="197"/>
      <c r="EU84" s="197"/>
      <c r="EV84" s="197"/>
      <c r="EW84" s="197"/>
      <c r="EX84" s="197"/>
      <c r="EY84" s="197"/>
      <c r="EZ84" s="197"/>
      <c r="FA84" s="197"/>
      <c r="FB84" s="197"/>
      <c r="FC84" s="197"/>
      <c r="FD84" s="197"/>
      <c r="FE84" s="197"/>
      <c r="FF84" s="197"/>
      <c r="FG84" s="197"/>
      <c r="FH84" s="197"/>
      <c r="FI84" s="197"/>
      <c r="FJ84" s="197"/>
      <c r="FK84" s="197"/>
      <c r="FL84" s="197"/>
      <c r="FM84" s="197"/>
      <c r="FN84" s="197"/>
      <c r="FO84" s="197"/>
      <c r="FP84" s="197"/>
      <c r="FQ84" s="197"/>
      <c r="FR84" s="197"/>
      <c r="FS84" s="197"/>
      <c r="FT84" s="197"/>
      <c r="FU84" s="197"/>
      <c r="FV84" s="197"/>
      <c r="FW84" s="197"/>
      <c r="FX84" s="197"/>
      <c r="FY84" s="197"/>
      <c r="FZ84" s="197"/>
      <c r="GA84" s="197"/>
      <c r="GB84" s="197"/>
      <c r="GC84" s="197"/>
      <c r="GD84" s="197"/>
      <c r="GE84" s="197"/>
      <c r="GF84" s="197"/>
      <c r="GG84" s="197"/>
      <c r="GH84" s="197"/>
      <c r="GI84" s="197"/>
      <c r="GJ84" s="197"/>
      <c r="GK84" s="197"/>
      <c r="GL84" s="197"/>
      <c r="GM84" s="197"/>
      <c r="GN84" s="197"/>
      <c r="GO84" s="197"/>
      <c r="GP84" s="197"/>
      <c r="GQ84" s="197"/>
      <c r="GR84" s="197"/>
      <c r="GS84" s="197"/>
      <c r="GT84" s="197"/>
      <c r="GU84" s="197"/>
      <c r="GV84" s="197"/>
      <c r="GW84" s="197"/>
      <c r="GX84" s="197"/>
      <c r="GY84" s="197"/>
      <c r="GZ84" s="197"/>
      <c r="HA84" s="197"/>
      <c r="HB84" s="197"/>
      <c r="HC84" s="197"/>
      <c r="HD84" s="197"/>
      <c r="HE84" s="197"/>
      <c r="HF84" s="197"/>
      <c r="HG84" s="197"/>
      <c r="HH84" s="197"/>
      <c r="HI84" s="197"/>
      <c r="HJ84" s="197"/>
      <c r="HK84" s="197"/>
      <c r="HL84" s="197"/>
      <c r="HM84" s="197"/>
      <c r="HN84" s="197"/>
      <c r="HO84" s="197"/>
      <c r="HP84" s="197"/>
      <c r="HQ84" s="197"/>
      <c r="HR84" s="197"/>
      <c r="HS84" s="197"/>
      <c r="HT84" s="197"/>
      <c r="HU84" s="197"/>
      <c r="HV84" s="197"/>
      <c r="HW84" s="197"/>
      <c r="HX84" s="197"/>
      <c r="HY84" s="197"/>
      <c r="HZ84" s="197"/>
      <c r="IA84" s="197"/>
      <c r="IB84" s="197"/>
      <c r="IC84" s="197"/>
      <c r="ID84" s="197"/>
      <c r="IE84" s="197"/>
      <c r="IF84" s="197"/>
      <c r="IG84" s="197"/>
      <c r="IH84" s="197"/>
      <c r="II84" s="197"/>
      <c r="IJ84" s="197"/>
      <c r="IK84" s="197"/>
      <c r="IL84" s="197"/>
      <c r="IM84" s="197"/>
      <c r="IN84" s="197"/>
      <c r="IO84" s="197"/>
      <c r="IP84" s="197"/>
      <c r="IQ84" s="197"/>
    </row>
    <row r="85" spans="1:252" s="75" customFormat="1">
      <c r="A85" s="422" t="s">
        <v>1123</v>
      </c>
      <c r="B85" s="423">
        <v>152040.24</v>
      </c>
      <c r="C85" s="213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  <c r="EN85" s="197"/>
      <c r="EO85" s="197"/>
      <c r="EP85" s="197"/>
      <c r="EQ85" s="197"/>
      <c r="ER85" s="197"/>
      <c r="ES85" s="197"/>
      <c r="ET85" s="197"/>
      <c r="EU85" s="197"/>
      <c r="EV85" s="197"/>
      <c r="EW85" s="197"/>
      <c r="EX85" s="197"/>
      <c r="EY85" s="197"/>
      <c r="EZ85" s="197"/>
      <c r="FA85" s="197"/>
      <c r="FB85" s="197"/>
      <c r="FC85" s="197"/>
      <c r="FD85" s="197"/>
      <c r="FE85" s="197"/>
      <c r="FF85" s="197"/>
      <c r="FG85" s="197"/>
      <c r="FH85" s="197"/>
      <c r="FI85" s="197"/>
      <c r="FJ85" s="197"/>
      <c r="FK85" s="197"/>
      <c r="FL85" s="197"/>
      <c r="FM85" s="197"/>
      <c r="FN85" s="197"/>
      <c r="FO85" s="197"/>
      <c r="FP85" s="197"/>
      <c r="FQ85" s="197"/>
      <c r="FR85" s="197"/>
      <c r="FS85" s="197"/>
      <c r="FT85" s="197"/>
      <c r="FU85" s="197"/>
      <c r="FV85" s="197"/>
      <c r="FW85" s="197"/>
      <c r="FX85" s="197"/>
      <c r="FY85" s="197"/>
      <c r="FZ85" s="197"/>
      <c r="GA85" s="197"/>
      <c r="GB85" s="197"/>
      <c r="GC85" s="197"/>
      <c r="GD85" s="197"/>
      <c r="GE85" s="197"/>
      <c r="GF85" s="197"/>
      <c r="GG85" s="197"/>
      <c r="GH85" s="197"/>
      <c r="GI85" s="197"/>
      <c r="GJ85" s="197"/>
      <c r="GK85" s="197"/>
      <c r="GL85" s="197"/>
      <c r="GM85" s="197"/>
      <c r="GN85" s="197"/>
      <c r="GO85" s="197"/>
      <c r="GP85" s="197"/>
      <c r="GQ85" s="197"/>
      <c r="GR85" s="197"/>
      <c r="GS85" s="197"/>
      <c r="GT85" s="197"/>
      <c r="GU85" s="197"/>
      <c r="GV85" s="197"/>
      <c r="GW85" s="197"/>
      <c r="GX85" s="197"/>
      <c r="GY85" s="197"/>
      <c r="GZ85" s="197"/>
      <c r="HA85" s="197"/>
      <c r="HB85" s="197"/>
      <c r="HC85" s="197"/>
      <c r="HD85" s="197"/>
      <c r="HE85" s="197"/>
      <c r="HF85" s="197"/>
      <c r="HG85" s="197"/>
      <c r="HH85" s="197"/>
      <c r="HI85" s="197"/>
      <c r="HJ85" s="197"/>
      <c r="HK85" s="197"/>
      <c r="HL85" s="197"/>
      <c r="HM85" s="197"/>
      <c r="HN85" s="197"/>
      <c r="HO85" s="197"/>
      <c r="HP85" s="197"/>
      <c r="HQ85" s="197"/>
      <c r="HR85" s="197"/>
      <c r="HS85" s="197"/>
      <c r="HT85" s="197"/>
      <c r="HU85" s="197"/>
      <c r="HV85" s="197"/>
      <c r="HW85" s="197"/>
      <c r="HX85" s="197"/>
      <c r="HY85" s="197"/>
      <c r="HZ85" s="197"/>
      <c r="IA85" s="197"/>
      <c r="IB85" s="197"/>
      <c r="IC85" s="197"/>
      <c r="ID85" s="197"/>
      <c r="IE85" s="197"/>
      <c r="IF85" s="197"/>
      <c r="IG85" s="197"/>
      <c r="IH85" s="197"/>
      <c r="II85" s="197"/>
      <c r="IJ85" s="197"/>
      <c r="IK85" s="197"/>
      <c r="IL85" s="197"/>
      <c r="IM85" s="197"/>
      <c r="IN85" s="197"/>
      <c r="IO85" s="197"/>
      <c r="IP85" s="197"/>
      <c r="IQ85" s="197"/>
    </row>
    <row r="86" spans="1:252" s="75" customFormat="1">
      <c r="A86" s="422" t="s">
        <v>596</v>
      </c>
      <c r="B86" s="423">
        <v>845.82</v>
      </c>
      <c r="C86" s="213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  <c r="EM86" s="197"/>
      <c r="EN86" s="197"/>
      <c r="EO86" s="197"/>
      <c r="EP86" s="197"/>
      <c r="EQ86" s="197"/>
      <c r="ER86" s="197"/>
      <c r="ES86" s="197"/>
      <c r="ET86" s="197"/>
      <c r="EU86" s="197"/>
      <c r="EV86" s="197"/>
      <c r="EW86" s="197"/>
      <c r="EX86" s="197"/>
      <c r="EY86" s="197"/>
      <c r="EZ86" s="197"/>
      <c r="FA86" s="197"/>
      <c r="FB86" s="197"/>
      <c r="FC86" s="197"/>
      <c r="FD86" s="197"/>
      <c r="FE86" s="197"/>
      <c r="FF86" s="197"/>
      <c r="FG86" s="197"/>
      <c r="FH86" s="197"/>
      <c r="FI86" s="197"/>
      <c r="FJ86" s="197"/>
      <c r="FK86" s="197"/>
      <c r="FL86" s="197"/>
      <c r="FM86" s="197"/>
      <c r="FN86" s="197"/>
      <c r="FO86" s="197"/>
      <c r="FP86" s="197"/>
      <c r="FQ86" s="197"/>
      <c r="FR86" s="197"/>
      <c r="FS86" s="197"/>
      <c r="FT86" s="197"/>
      <c r="FU86" s="197"/>
      <c r="FV86" s="197"/>
      <c r="FW86" s="197"/>
      <c r="FX86" s="197"/>
      <c r="FY86" s="197"/>
      <c r="FZ86" s="197"/>
      <c r="GA86" s="197"/>
      <c r="GB86" s="197"/>
      <c r="GC86" s="197"/>
      <c r="GD86" s="197"/>
      <c r="GE86" s="197"/>
      <c r="GF86" s="197"/>
      <c r="GG86" s="197"/>
      <c r="GH86" s="197"/>
      <c r="GI86" s="197"/>
      <c r="GJ86" s="197"/>
      <c r="GK86" s="197"/>
      <c r="GL86" s="197"/>
      <c r="GM86" s="197"/>
      <c r="GN86" s="197"/>
      <c r="GO86" s="197"/>
      <c r="GP86" s="197"/>
      <c r="GQ86" s="197"/>
      <c r="GR86" s="197"/>
      <c r="GS86" s="197"/>
      <c r="GT86" s="197"/>
      <c r="GU86" s="197"/>
      <c r="GV86" s="197"/>
      <c r="GW86" s="197"/>
      <c r="GX86" s="197"/>
      <c r="GY86" s="197"/>
      <c r="GZ86" s="197"/>
      <c r="HA86" s="197"/>
      <c r="HB86" s="197"/>
      <c r="HC86" s="197"/>
      <c r="HD86" s="197"/>
      <c r="HE86" s="197"/>
      <c r="HF86" s="197"/>
      <c r="HG86" s="197"/>
      <c r="HH86" s="197"/>
      <c r="HI86" s="197"/>
      <c r="HJ86" s="197"/>
      <c r="HK86" s="197"/>
      <c r="HL86" s="197"/>
      <c r="HM86" s="197"/>
      <c r="HN86" s="197"/>
      <c r="HO86" s="197"/>
      <c r="HP86" s="197"/>
      <c r="HQ86" s="197"/>
      <c r="HR86" s="197"/>
      <c r="HS86" s="197"/>
      <c r="HT86" s="197"/>
      <c r="HU86" s="197"/>
      <c r="HV86" s="197"/>
      <c r="HW86" s="197"/>
      <c r="HX86" s="197"/>
      <c r="HY86" s="197"/>
      <c r="HZ86" s="197"/>
      <c r="IA86" s="197"/>
      <c r="IB86" s="197"/>
      <c r="IC86" s="197"/>
      <c r="ID86" s="197"/>
      <c r="IE86" s="197"/>
      <c r="IF86" s="197"/>
      <c r="IG86" s="197"/>
      <c r="IH86" s="197"/>
      <c r="II86" s="197"/>
      <c r="IJ86" s="197"/>
      <c r="IK86" s="197"/>
      <c r="IL86" s="197"/>
      <c r="IM86" s="197"/>
      <c r="IN86" s="197"/>
      <c r="IO86" s="197"/>
      <c r="IP86" s="197"/>
      <c r="IQ86" s="197"/>
    </row>
    <row r="87" spans="1:252" s="73" customFormat="1">
      <c r="A87" s="432" t="s">
        <v>798</v>
      </c>
      <c r="B87" s="423">
        <f>B84+B85+B86-B88</f>
        <v>145174.87</v>
      </c>
      <c r="C87" s="193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230"/>
      <c r="CT87" s="230"/>
      <c r="CU87" s="230"/>
      <c r="CV87" s="230"/>
      <c r="CW87" s="230"/>
      <c r="CX87" s="230"/>
      <c r="CY87" s="230"/>
      <c r="CZ87" s="230"/>
      <c r="DA87" s="230"/>
      <c r="DB87" s="230"/>
      <c r="DC87" s="230"/>
      <c r="DD87" s="230"/>
      <c r="DE87" s="230"/>
      <c r="DF87" s="230"/>
      <c r="DG87" s="230"/>
      <c r="DH87" s="230"/>
      <c r="DI87" s="230"/>
      <c r="DJ87" s="230"/>
      <c r="DK87" s="230"/>
      <c r="DL87" s="230"/>
      <c r="DM87" s="230"/>
      <c r="DN87" s="230"/>
      <c r="DO87" s="230"/>
      <c r="DP87" s="230"/>
      <c r="DQ87" s="230"/>
      <c r="DR87" s="230"/>
      <c r="DS87" s="230"/>
      <c r="DT87" s="230"/>
      <c r="DU87" s="230"/>
      <c r="DV87" s="230"/>
      <c r="DW87" s="230"/>
      <c r="DX87" s="230"/>
      <c r="DY87" s="230"/>
      <c r="DZ87" s="230"/>
      <c r="EA87" s="230"/>
      <c r="EB87" s="230"/>
      <c r="EC87" s="230"/>
      <c r="ED87" s="230"/>
      <c r="EE87" s="230"/>
      <c r="EF87" s="230"/>
      <c r="EG87" s="230"/>
      <c r="EH87" s="230"/>
      <c r="EI87" s="230"/>
      <c r="EJ87" s="230"/>
      <c r="EK87" s="230"/>
      <c r="EL87" s="230"/>
      <c r="EM87" s="230"/>
      <c r="EN87" s="230"/>
      <c r="EO87" s="230"/>
      <c r="EP87" s="230"/>
      <c r="EQ87" s="230"/>
      <c r="ER87" s="230"/>
      <c r="ES87" s="230"/>
      <c r="ET87" s="230"/>
      <c r="EU87" s="230"/>
      <c r="EV87" s="230"/>
      <c r="EW87" s="230"/>
      <c r="EX87" s="230"/>
      <c r="EY87" s="230"/>
      <c r="EZ87" s="230"/>
      <c r="FA87" s="230"/>
      <c r="FB87" s="230"/>
      <c r="FC87" s="230"/>
      <c r="FD87" s="230"/>
      <c r="FE87" s="230"/>
      <c r="FF87" s="230"/>
      <c r="FG87" s="230"/>
      <c r="FH87" s="230"/>
      <c r="FI87" s="230"/>
      <c r="FJ87" s="230"/>
      <c r="FK87" s="230"/>
      <c r="FL87" s="230"/>
      <c r="FM87" s="230"/>
      <c r="FN87" s="230"/>
      <c r="FO87" s="230"/>
      <c r="FP87" s="230"/>
      <c r="FQ87" s="230"/>
      <c r="FR87" s="230"/>
      <c r="FS87" s="230"/>
      <c r="FT87" s="230"/>
      <c r="FU87" s="230"/>
      <c r="FV87" s="230"/>
      <c r="FW87" s="230"/>
      <c r="FX87" s="230"/>
      <c r="FY87" s="230"/>
      <c r="FZ87" s="230"/>
      <c r="GA87" s="230"/>
      <c r="GB87" s="230"/>
      <c r="GC87" s="230"/>
      <c r="GD87" s="230"/>
      <c r="GE87" s="230"/>
      <c r="GF87" s="230"/>
      <c r="GG87" s="230"/>
      <c r="GH87" s="230"/>
      <c r="GI87" s="230"/>
      <c r="GJ87" s="230"/>
      <c r="GK87" s="230"/>
      <c r="GL87" s="230"/>
      <c r="GM87" s="230"/>
      <c r="GN87" s="230"/>
      <c r="GO87" s="230"/>
      <c r="GP87" s="230"/>
      <c r="GQ87" s="230"/>
      <c r="GR87" s="230"/>
      <c r="GS87" s="230"/>
      <c r="GT87" s="230"/>
      <c r="GU87" s="230"/>
      <c r="GV87" s="230"/>
      <c r="GW87" s="230"/>
      <c r="GX87" s="230"/>
      <c r="GY87" s="230"/>
      <c r="GZ87" s="230"/>
      <c r="HA87" s="230"/>
      <c r="HB87" s="230"/>
      <c r="HC87" s="230"/>
      <c r="HD87" s="230"/>
      <c r="HE87" s="230"/>
      <c r="HF87" s="230"/>
      <c r="HG87" s="230"/>
      <c r="HH87" s="230"/>
      <c r="HI87" s="230"/>
      <c r="HJ87" s="230"/>
      <c r="HK87" s="230"/>
      <c r="HL87" s="230"/>
      <c r="HM87" s="230"/>
      <c r="HN87" s="230"/>
      <c r="HO87" s="230"/>
      <c r="HP87" s="230"/>
      <c r="HQ87" s="230"/>
      <c r="HR87" s="230"/>
      <c r="HS87" s="230"/>
      <c r="HT87" s="230"/>
      <c r="HU87" s="230"/>
      <c r="HV87" s="230"/>
      <c r="HW87" s="230"/>
      <c r="HX87" s="230"/>
      <c r="HY87" s="230"/>
      <c r="HZ87" s="230"/>
      <c r="IA87" s="230"/>
      <c r="IB87" s="230"/>
      <c r="IC87" s="230"/>
      <c r="ID87" s="230"/>
      <c r="IE87" s="230"/>
      <c r="IF87" s="230"/>
      <c r="IG87" s="230"/>
      <c r="IH87" s="230"/>
      <c r="II87" s="230"/>
      <c r="IJ87" s="230"/>
      <c r="IK87" s="230"/>
      <c r="IL87" s="230"/>
      <c r="IM87" s="230"/>
      <c r="IN87" s="230"/>
      <c r="IO87" s="230"/>
      <c r="IP87" s="230"/>
      <c r="IQ87" s="230"/>
    </row>
    <row r="88" spans="1:252" s="73" customFormat="1">
      <c r="A88" s="422" t="s">
        <v>1124</v>
      </c>
      <c r="B88" s="423">
        <v>12062.8</v>
      </c>
      <c r="C88" s="193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230"/>
      <c r="CT88" s="230"/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0"/>
      <c r="DX88" s="230"/>
      <c r="DY88" s="230"/>
      <c r="DZ88" s="230"/>
      <c r="EA88" s="230"/>
      <c r="EB88" s="230"/>
      <c r="EC88" s="230"/>
      <c r="ED88" s="230"/>
      <c r="EE88" s="230"/>
      <c r="EF88" s="230"/>
      <c r="EG88" s="230"/>
      <c r="EH88" s="230"/>
      <c r="EI88" s="230"/>
      <c r="EJ88" s="230"/>
      <c r="EK88" s="230"/>
      <c r="EL88" s="230"/>
      <c r="EM88" s="230"/>
      <c r="EN88" s="230"/>
      <c r="EO88" s="230"/>
      <c r="EP88" s="230"/>
      <c r="EQ88" s="230"/>
      <c r="ER88" s="230"/>
      <c r="ES88" s="230"/>
      <c r="ET88" s="230"/>
      <c r="EU88" s="230"/>
      <c r="EV88" s="230"/>
      <c r="EW88" s="230"/>
      <c r="EX88" s="230"/>
      <c r="EY88" s="230"/>
      <c r="EZ88" s="230"/>
      <c r="FA88" s="230"/>
      <c r="FB88" s="230"/>
      <c r="FC88" s="230"/>
      <c r="FD88" s="230"/>
      <c r="FE88" s="230"/>
      <c r="FF88" s="230"/>
      <c r="FG88" s="230"/>
      <c r="FH88" s="230"/>
      <c r="FI88" s="230"/>
      <c r="FJ88" s="230"/>
      <c r="FK88" s="230"/>
      <c r="FL88" s="230"/>
      <c r="FM88" s="230"/>
      <c r="FN88" s="230"/>
      <c r="FO88" s="230"/>
      <c r="FP88" s="230"/>
      <c r="FQ88" s="230"/>
      <c r="FR88" s="230"/>
      <c r="FS88" s="230"/>
      <c r="FT88" s="230"/>
      <c r="FU88" s="230"/>
      <c r="FV88" s="230"/>
      <c r="FW88" s="230"/>
      <c r="FX88" s="230"/>
      <c r="FY88" s="230"/>
      <c r="FZ88" s="230"/>
      <c r="GA88" s="230"/>
      <c r="GB88" s="230"/>
      <c r="GC88" s="230"/>
      <c r="GD88" s="230"/>
      <c r="GE88" s="230"/>
      <c r="GF88" s="230"/>
      <c r="GG88" s="230"/>
      <c r="GH88" s="230"/>
      <c r="GI88" s="230"/>
      <c r="GJ88" s="230"/>
      <c r="GK88" s="230"/>
      <c r="GL88" s="230"/>
      <c r="GM88" s="230"/>
      <c r="GN88" s="230"/>
      <c r="GO88" s="230"/>
      <c r="GP88" s="230"/>
      <c r="GQ88" s="230"/>
      <c r="GR88" s="230"/>
      <c r="GS88" s="230"/>
      <c r="GT88" s="230"/>
      <c r="GU88" s="230"/>
      <c r="GV88" s="230"/>
      <c r="GW88" s="230"/>
      <c r="GX88" s="230"/>
      <c r="GY88" s="230"/>
      <c r="GZ88" s="230"/>
      <c r="HA88" s="230"/>
      <c r="HB88" s="230"/>
      <c r="HC88" s="230"/>
      <c r="HD88" s="230"/>
      <c r="HE88" s="230"/>
      <c r="HF88" s="230"/>
      <c r="HG88" s="230"/>
      <c r="HH88" s="230"/>
      <c r="HI88" s="230"/>
      <c r="HJ88" s="230"/>
      <c r="HK88" s="230"/>
      <c r="HL88" s="230"/>
      <c r="HM88" s="230"/>
      <c r="HN88" s="230"/>
      <c r="HO88" s="230"/>
      <c r="HP88" s="230"/>
      <c r="HQ88" s="230"/>
      <c r="HR88" s="230"/>
      <c r="HS88" s="230"/>
      <c r="HT88" s="230"/>
      <c r="HU88" s="230"/>
      <c r="HV88" s="230"/>
      <c r="HW88" s="230"/>
      <c r="HX88" s="230"/>
      <c r="HY88" s="230"/>
      <c r="HZ88" s="230"/>
      <c r="IA88" s="230"/>
      <c r="IB88" s="230"/>
      <c r="IC88" s="230"/>
      <c r="ID88" s="230"/>
      <c r="IE88" s="230"/>
      <c r="IF88" s="230"/>
      <c r="IG88" s="230"/>
      <c r="IH88" s="230"/>
      <c r="II88" s="230"/>
      <c r="IJ88" s="230"/>
      <c r="IK88" s="230"/>
      <c r="IL88" s="230"/>
      <c r="IM88" s="230"/>
      <c r="IN88" s="230"/>
      <c r="IO88" s="230"/>
      <c r="IP88" s="230"/>
      <c r="IQ88" s="230"/>
    </row>
    <row r="89" spans="1:252" s="73" customFormat="1" ht="14.25" customHeight="1">
      <c r="A89" s="435" t="s">
        <v>1555</v>
      </c>
      <c r="B89" s="425">
        <f>B87</f>
        <v>145174.87</v>
      </c>
      <c r="C89" s="193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0"/>
      <c r="CT89" s="230"/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0"/>
      <c r="DI89" s="230"/>
      <c r="DJ89" s="230"/>
      <c r="DK89" s="230"/>
      <c r="DL89" s="230"/>
      <c r="DM89" s="230"/>
      <c r="DN89" s="230"/>
      <c r="DO89" s="230"/>
      <c r="DP89" s="230"/>
      <c r="DQ89" s="230"/>
      <c r="DR89" s="230"/>
      <c r="DS89" s="230"/>
      <c r="DT89" s="230"/>
      <c r="DU89" s="230"/>
      <c r="DV89" s="230"/>
      <c r="DW89" s="230"/>
      <c r="DX89" s="230"/>
      <c r="DY89" s="230"/>
      <c r="DZ89" s="230"/>
      <c r="EA89" s="230"/>
      <c r="EB89" s="230"/>
      <c r="EC89" s="230"/>
      <c r="ED89" s="230"/>
      <c r="EE89" s="230"/>
      <c r="EF89" s="230"/>
      <c r="EG89" s="230"/>
      <c r="EH89" s="230"/>
      <c r="EI89" s="230"/>
      <c r="EJ89" s="230"/>
      <c r="EK89" s="230"/>
      <c r="EL89" s="230"/>
      <c r="EM89" s="230"/>
      <c r="EN89" s="230"/>
      <c r="EO89" s="230"/>
      <c r="EP89" s="230"/>
      <c r="EQ89" s="230"/>
      <c r="ER89" s="230"/>
      <c r="ES89" s="230"/>
      <c r="ET89" s="230"/>
      <c r="EU89" s="230"/>
      <c r="EV89" s="230"/>
      <c r="EW89" s="230"/>
      <c r="EX89" s="230"/>
      <c r="EY89" s="230"/>
      <c r="EZ89" s="230"/>
      <c r="FA89" s="230"/>
      <c r="FB89" s="230"/>
      <c r="FC89" s="230"/>
      <c r="FD89" s="230"/>
      <c r="FE89" s="230"/>
      <c r="FF89" s="230"/>
      <c r="FG89" s="230"/>
      <c r="FH89" s="230"/>
      <c r="FI89" s="230"/>
      <c r="FJ89" s="230"/>
      <c r="FK89" s="230"/>
      <c r="FL89" s="230"/>
      <c r="FM89" s="230"/>
      <c r="FN89" s="230"/>
      <c r="FO89" s="230"/>
      <c r="FP89" s="230"/>
      <c r="FQ89" s="230"/>
      <c r="FR89" s="230"/>
      <c r="FS89" s="230"/>
      <c r="FT89" s="230"/>
      <c r="FU89" s="230"/>
      <c r="FV89" s="230"/>
      <c r="FW89" s="230"/>
      <c r="FX89" s="230"/>
      <c r="FY89" s="230"/>
      <c r="FZ89" s="230"/>
      <c r="GA89" s="230"/>
      <c r="GB89" s="230"/>
      <c r="GC89" s="230"/>
      <c r="GD89" s="230"/>
      <c r="GE89" s="230"/>
      <c r="GF89" s="230"/>
      <c r="GG89" s="230"/>
      <c r="GH89" s="230"/>
      <c r="GI89" s="230"/>
      <c r="GJ89" s="230"/>
      <c r="GK89" s="230"/>
      <c r="GL89" s="230"/>
      <c r="GM89" s="230"/>
      <c r="GN89" s="230"/>
      <c r="GO89" s="230"/>
      <c r="GP89" s="230"/>
      <c r="GQ89" s="230"/>
      <c r="GR89" s="230"/>
      <c r="GS89" s="230"/>
      <c r="GT89" s="230"/>
      <c r="GU89" s="230"/>
      <c r="GV89" s="230"/>
      <c r="GW89" s="230"/>
      <c r="GX89" s="230"/>
      <c r="GY89" s="230"/>
      <c r="GZ89" s="230"/>
      <c r="HA89" s="230"/>
      <c r="HB89" s="230"/>
      <c r="HC89" s="230"/>
      <c r="HD89" s="230"/>
      <c r="HE89" s="230"/>
      <c r="HF89" s="230"/>
      <c r="HG89" s="230"/>
      <c r="HH89" s="230"/>
      <c r="HI89" s="230"/>
      <c r="HJ89" s="230"/>
      <c r="HK89" s="230"/>
      <c r="HL89" s="230"/>
      <c r="HM89" s="230"/>
      <c r="HN89" s="230"/>
      <c r="HO89" s="230"/>
      <c r="HP89" s="230"/>
      <c r="HQ89" s="230"/>
      <c r="HR89" s="230"/>
      <c r="HS89" s="230"/>
      <c r="HT89" s="230"/>
      <c r="HU89" s="230"/>
      <c r="HV89" s="230"/>
      <c r="HW89" s="230"/>
      <c r="HX89" s="230"/>
      <c r="HY89" s="230"/>
      <c r="HZ89" s="230"/>
      <c r="IA89" s="230"/>
      <c r="IB89" s="230"/>
      <c r="IC89" s="230"/>
      <c r="ID89" s="230"/>
      <c r="IE89" s="230"/>
      <c r="IF89" s="230"/>
      <c r="IG89" s="230"/>
      <c r="IH89" s="230"/>
      <c r="II89" s="230"/>
      <c r="IJ89" s="230"/>
      <c r="IK89" s="230"/>
      <c r="IL89" s="230"/>
      <c r="IM89" s="230"/>
      <c r="IN89" s="230"/>
      <c r="IO89" s="230"/>
      <c r="IP89" s="230"/>
      <c r="IQ89" s="230"/>
    </row>
    <row r="90" spans="1:252" s="75" customFormat="1">
      <c r="A90" s="403"/>
      <c r="B90" s="197"/>
      <c r="C90" s="213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  <c r="EN90" s="197"/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197"/>
      <c r="EZ90" s="197"/>
      <c r="FA90" s="197"/>
      <c r="FB90" s="197"/>
      <c r="FC90" s="197"/>
      <c r="FD90" s="197"/>
      <c r="FE90" s="197"/>
      <c r="FF90" s="197"/>
      <c r="FG90" s="197"/>
      <c r="FH90" s="197"/>
      <c r="FI90" s="197"/>
      <c r="FJ90" s="197"/>
      <c r="FK90" s="197"/>
      <c r="FL90" s="197"/>
      <c r="FM90" s="197"/>
      <c r="FN90" s="197"/>
      <c r="FO90" s="197"/>
      <c r="FP90" s="197"/>
      <c r="FQ90" s="197"/>
      <c r="FR90" s="197"/>
      <c r="FS90" s="197"/>
      <c r="FT90" s="197"/>
      <c r="FU90" s="197"/>
      <c r="FV90" s="197"/>
      <c r="FW90" s="197"/>
      <c r="FX90" s="197"/>
      <c r="FY90" s="197"/>
      <c r="FZ90" s="197"/>
      <c r="GA90" s="197"/>
      <c r="GB90" s="197"/>
      <c r="GC90" s="197"/>
      <c r="GD90" s="197"/>
      <c r="GE90" s="197"/>
      <c r="GF90" s="197"/>
      <c r="GG90" s="197"/>
      <c r="GH90" s="197"/>
      <c r="GI90" s="197"/>
      <c r="GJ90" s="197"/>
      <c r="GK90" s="197"/>
      <c r="GL90" s="197"/>
      <c r="GM90" s="197"/>
      <c r="GN90" s="197"/>
      <c r="GO90" s="197"/>
      <c r="GP90" s="197"/>
      <c r="GQ90" s="197"/>
      <c r="GR90" s="197"/>
      <c r="GS90" s="197"/>
      <c r="GT90" s="197"/>
      <c r="GU90" s="197"/>
      <c r="GV90" s="197"/>
      <c r="GW90" s="197"/>
      <c r="GX90" s="197"/>
      <c r="GY90" s="197"/>
      <c r="GZ90" s="197"/>
      <c r="HA90" s="197"/>
      <c r="HB90" s="197"/>
      <c r="HC90" s="197"/>
      <c r="HD90" s="197"/>
      <c r="HE90" s="197"/>
      <c r="HF90" s="197"/>
      <c r="HG90" s="197"/>
      <c r="HH90" s="197"/>
      <c r="HI90" s="197"/>
      <c r="HJ90" s="197"/>
      <c r="HK90" s="197"/>
      <c r="HL90" s="197"/>
      <c r="HM90" s="197"/>
      <c r="HN90" s="197"/>
      <c r="HO90" s="197"/>
      <c r="HP90" s="197"/>
      <c r="HQ90" s="197"/>
      <c r="HR90" s="197"/>
      <c r="HS90" s="197"/>
      <c r="HT90" s="197"/>
      <c r="HU90" s="197"/>
      <c r="HV90" s="197"/>
      <c r="HW90" s="197"/>
      <c r="HX90" s="197"/>
      <c r="HY90" s="197"/>
      <c r="HZ90" s="197"/>
      <c r="IA90" s="197"/>
      <c r="IB90" s="197"/>
      <c r="IC90" s="197"/>
      <c r="ID90" s="197"/>
      <c r="IE90" s="197"/>
      <c r="IF90" s="197"/>
      <c r="IG90" s="197"/>
      <c r="IH90" s="197"/>
      <c r="II90" s="197"/>
      <c r="IJ90" s="197"/>
      <c r="IK90" s="197"/>
      <c r="IL90" s="197"/>
      <c r="IM90" s="197"/>
      <c r="IN90" s="197"/>
      <c r="IO90" s="197"/>
      <c r="IP90" s="197"/>
      <c r="IQ90" s="197"/>
    </row>
    <row r="91" spans="1:252" s="75" customFormat="1">
      <c r="A91" s="431" t="s">
        <v>1130</v>
      </c>
      <c r="B91" s="436">
        <f>B93+B94+B95+B98+B99+B101+B104+B102+B103+B96+B97</f>
        <v>137614.03281816692</v>
      </c>
      <c r="C91" s="213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  <c r="EN91" s="197"/>
      <c r="EO91" s="197"/>
      <c r="EP91" s="197"/>
      <c r="EQ91" s="197"/>
      <c r="ER91" s="197"/>
      <c r="ES91" s="197"/>
      <c r="ET91" s="197"/>
      <c r="EU91" s="197"/>
      <c r="EV91" s="197"/>
      <c r="EW91" s="197"/>
      <c r="EX91" s="197"/>
      <c r="EY91" s="197"/>
      <c r="EZ91" s="197"/>
      <c r="FA91" s="197"/>
      <c r="FB91" s="197"/>
      <c r="FC91" s="197"/>
      <c r="FD91" s="197"/>
      <c r="FE91" s="197"/>
      <c r="FF91" s="197"/>
      <c r="FG91" s="197"/>
      <c r="FH91" s="197"/>
      <c r="FI91" s="197"/>
      <c r="FJ91" s="197"/>
      <c r="FK91" s="197"/>
      <c r="FL91" s="197"/>
      <c r="FM91" s="197"/>
      <c r="FN91" s="197"/>
      <c r="FO91" s="197"/>
      <c r="FP91" s="197"/>
      <c r="FQ91" s="197"/>
      <c r="FR91" s="197"/>
      <c r="FS91" s="197"/>
      <c r="FT91" s="197"/>
      <c r="FU91" s="197"/>
      <c r="FV91" s="197"/>
      <c r="FW91" s="197"/>
      <c r="FX91" s="197"/>
      <c r="FY91" s="197"/>
      <c r="FZ91" s="197"/>
      <c r="GA91" s="197"/>
      <c r="GB91" s="197"/>
      <c r="GC91" s="197"/>
      <c r="GD91" s="197"/>
      <c r="GE91" s="197"/>
      <c r="GF91" s="197"/>
      <c r="GG91" s="197"/>
      <c r="GH91" s="197"/>
      <c r="GI91" s="197"/>
      <c r="GJ91" s="197"/>
      <c r="GK91" s="197"/>
      <c r="GL91" s="197"/>
      <c r="GM91" s="197"/>
      <c r="GN91" s="197"/>
      <c r="GO91" s="197"/>
      <c r="GP91" s="197"/>
      <c r="GQ91" s="197"/>
      <c r="GR91" s="197"/>
      <c r="GS91" s="197"/>
      <c r="GT91" s="197"/>
      <c r="GU91" s="197"/>
      <c r="GV91" s="197"/>
      <c r="GW91" s="197"/>
      <c r="GX91" s="197"/>
      <c r="GY91" s="197"/>
      <c r="GZ91" s="197"/>
      <c r="HA91" s="197"/>
      <c r="HB91" s="197"/>
      <c r="HC91" s="197"/>
      <c r="HD91" s="197"/>
      <c r="HE91" s="197"/>
      <c r="HF91" s="197"/>
      <c r="HG91" s="197"/>
      <c r="HH91" s="197"/>
      <c r="HI91" s="197"/>
      <c r="HJ91" s="197"/>
      <c r="HK91" s="197"/>
      <c r="HL91" s="197"/>
      <c r="HM91" s="197"/>
      <c r="HN91" s="197"/>
      <c r="HO91" s="197"/>
      <c r="HP91" s="197"/>
      <c r="HQ91" s="197"/>
      <c r="HR91" s="197"/>
      <c r="HS91" s="197"/>
      <c r="HT91" s="197"/>
      <c r="HU91" s="197"/>
      <c r="HV91" s="197"/>
      <c r="HW91" s="197"/>
      <c r="HX91" s="197"/>
      <c r="HY91" s="197"/>
      <c r="HZ91" s="197"/>
      <c r="IA91" s="197"/>
      <c r="IB91" s="197"/>
      <c r="IC91" s="197"/>
      <c r="ID91" s="197"/>
      <c r="IE91" s="197"/>
      <c r="IF91" s="197"/>
      <c r="IG91" s="197"/>
      <c r="IH91" s="197"/>
      <c r="II91" s="197"/>
      <c r="IJ91" s="197"/>
      <c r="IK91" s="197"/>
      <c r="IL91" s="197"/>
      <c r="IM91" s="197"/>
      <c r="IN91" s="197"/>
      <c r="IO91" s="197"/>
      <c r="IP91" s="197"/>
      <c r="IQ91" s="197"/>
    </row>
    <row r="92" spans="1:252" s="75" customFormat="1">
      <c r="A92" s="432" t="s">
        <v>599</v>
      </c>
      <c r="B92" s="423"/>
      <c r="C92" s="213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  <c r="FG92" s="197"/>
      <c r="FH92" s="197"/>
      <c r="FI92" s="197"/>
      <c r="FJ92" s="197"/>
      <c r="FK92" s="197"/>
      <c r="FL92" s="197"/>
      <c r="FM92" s="197"/>
      <c r="FN92" s="197"/>
      <c r="FO92" s="197"/>
      <c r="FP92" s="197"/>
      <c r="FQ92" s="197"/>
      <c r="FR92" s="197"/>
      <c r="FS92" s="197"/>
      <c r="FT92" s="197"/>
      <c r="FU92" s="197"/>
      <c r="FV92" s="197"/>
      <c r="FW92" s="197"/>
      <c r="FX92" s="197"/>
      <c r="FY92" s="197"/>
      <c r="FZ92" s="197"/>
      <c r="GA92" s="197"/>
      <c r="GB92" s="197"/>
      <c r="GC92" s="197"/>
      <c r="GD92" s="197"/>
      <c r="GE92" s="197"/>
      <c r="GF92" s="197"/>
      <c r="GG92" s="197"/>
      <c r="GH92" s="197"/>
      <c r="GI92" s="197"/>
      <c r="GJ92" s="197"/>
      <c r="GK92" s="197"/>
      <c r="GL92" s="197"/>
      <c r="GM92" s="197"/>
      <c r="GN92" s="197"/>
      <c r="GO92" s="197"/>
      <c r="GP92" s="197"/>
      <c r="GQ92" s="197"/>
      <c r="GR92" s="197"/>
      <c r="GS92" s="197"/>
      <c r="GT92" s="197"/>
      <c r="GU92" s="197"/>
      <c r="GV92" s="197"/>
      <c r="GW92" s="197"/>
      <c r="GX92" s="197"/>
      <c r="GY92" s="197"/>
      <c r="GZ92" s="197"/>
      <c r="HA92" s="197"/>
      <c r="HB92" s="197"/>
      <c r="HC92" s="197"/>
      <c r="HD92" s="197"/>
      <c r="HE92" s="197"/>
      <c r="HF92" s="197"/>
      <c r="HG92" s="197"/>
      <c r="HH92" s="197"/>
      <c r="HI92" s="197"/>
      <c r="HJ92" s="197"/>
      <c r="HK92" s="197"/>
      <c r="HL92" s="197"/>
      <c r="HM92" s="197"/>
      <c r="HN92" s="197"/>
      <c r="HO92" s="197"/>
      <c r="HP92" s="197"/>
      <c r="HQ92" s="197"/>
      <c r="HR92" s="197"/>
      <c r="HS92" s="197"/>
      <c r="HT92" s="197"/>
      <c r="HU92" s="197"/>
      <c r="HV92" s="197"/>
      <c r="HW92" s="197"/>
      <c r="HX92" s="197"/>
      <c r="HY92" s="197"/>
      <c r="HZ92" s="197"/>
      <c r="IA92" s="197"/>
      <c r="IB92" s="197"/>
      <c r="IC92" s="197"/>
      <c r="ID92" s="197"/>
      <c r="IE92" s="197"/>
      <c r="IF92" s="197"/>
      <c r="IG92" s="197"/>
      <c r="IH92" s="197"/>
      <c r="II92" s="197"/>
      <c r="IJ92" s="197"/>
      <c r="IK92" s="197"/>
      <c r="IL92" s="197"/>
      <c r="IM92" s="197"/>
      <c r="IN92" s="197"/>
      <c r="IO92" s="197"/>
      <c r="IP92" s="197"/>
      <c r="IQ92" s="197"/>
    </row>
    <row r="93" spans="1:252" s="73" customFormat="1">
      <c r="A93" s="432" t="s">
        <v>521</v>
      </c>
      <c r="B93" s="421">
        <f>959300/45797.5*B82*1.5</f>
        <v>22326.936404825588</v>
      </c>
      <c r="C93" s="193">
        <f>ROUND(B93/B82/12,2)</f>
        <v>2.62</v>
      </c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  <c r="FH93" s="230"/>
      <c r="FI93" s="230"/>
      <c r="FJ93" s="230"/>
      <c r="FK93" s="230"/>
      <c r="FL93" s="230"/>
      <c r="FM93" s="230"/>
      <c r="FN93" s="230"/>
      <c r="FO93" s="230"/>
      <c r="FP93" s="230"/>
      <c r="FQ93" s="230"/>
      <c r="FR93" s="230"/>
      <c r="FS93" s="230"/>
      <c r="FT93" s="230"/>
      <c r="FU93" s="230"/>
      <c r="FV93" s="230"/>
      <c r="FW93" s="230"/>
      <c r="FX93" s="230"/>
      <c r="FY93" s="230"/>
      <c r="FZ93" s="230"/>
      <c r="GA93" s="230"/>
      <c r="GB93" s="230"/>
      <c r="GC93" s="230"/>
      <c r="GD93" s="230"/>
      <c r="GE93" s="230"/>
      <c r="GF93" s="230"/>
      <c r="GG93" s="230"/>
      <c r="GH93" s="230"/>
      <c r="GI93" s="230"/>
      <c r="GJ93" s="230"/>
      <c r="GK93" s="230"/>
      <c r="GL93" s="230"/>
      <c r="GM93" s="230"/>
      <c r="GN93" s="230"/>
      <c r="GO93" s="230"/>
      <c r="GP93" s="230"/>
      <c r="GQ93" s="230"/>
      <c r="GR93" s="230"/>
      <c r="GS93" s="230"/>
      <c r="GT93" s="230"/>
      <c r="GU93" s="230"/>
      <c r="GV93" s="230"/>
      <c r="GW93" s="230"/>
      <c r="GX93" s="230"/>
      <c r="GY93" s="230"/>
      <c r="GZ93" s="230"/>
      <c r="HA93" s="230"/>
      <c r="HB93" s="230"/>
      <c r="HC93" s="230"/>
      <c r="HD93" s="230"/>
      <c r="HE93" s="230"/>
      <c r="HF93" s="230"/>
      <c r="HG93" s="230"/>
      <c r="HH93" s="230"/>
      <c r="HI93" s="230"/>
      <c r="HJ93" s="230"/>
      <c r="HK93" s="230"/>
      <c r="HL93" s="230"/>
      <c r="HM93" s="230"/>
      <c r="HN93" s="230"/>
      <c r="HO93" s="230"/>
      <c r="HP93" s="230"/>
      <c r="HQ93" s="230"/>
      <c r="HR93" s="230"/>
      <c r="HS93" s="230"/>
      <c r="HT93" s="230"/>
      <c r="HU93" s="230"/>
      <c r="HV93" s="230"/>
      <c r="HW93" s="230"/>
      <c r="HX93" s="230"/>
      <c r="HY93" s="230"/>
      <c r="HZ93" s="230"/>
      <c r="IA93" s="230"/>
      <c r="IB93" s="230"/>
      <c r="IC93" s="230"/>
      <c r="ID93" s="230"/>
      <c r="IE93" s="230"/>
      <c r="IF93" s="230"/>
      <c r="IG93" s="230"/>
      <c r="IH93" s="230"/>
      <c r="II93" s="230"/>
      <c r="IJ93" s="230"/>
      <c r="IK93" s="230"/>
      <c r="IL93" s="230"/>
      <c r="IM93" s="230"/>
      <c r="IN93" s="230"/>
      <c r="IO93" s="230"/>
      <c r="IP93" s="230"/>
      <c r="IQ93" s="230"/>
    </row>
    <row r="94" spans="1:252" s="73" customFormat="1">
      <c r="A94" s="432" t="s">
        <v>520</v>
      </c>
      <c r="B94" s="421">
        <f>0.89*B82*12*1.5</f>
        <v>11383.812000000002</v>
      </c>
      <c r="C94" s="193">
        <f>ROUND(B94/B82/12,2)</f>
        <v>1.34</v>
      </c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230"/>
      <c r="BD94" s="230"/>
      <c r="BE94" s="230"/>
      <c r="BF94" s="230"/>
      <c r="BG94" s="230"/>
      <c r="BH94" s="230"/>
      <c r="BI94" s="230"/>
      <c r="BJ94" s="230"/>
      <c r="BK94" s="230"/>
      <c r="BL94" s="230"/>
      <c r="BM94" s="230"/>
      <c r="BN94" s="230"/>
      <c r="BO94" s="230"/>
      <c r="BP94" s="230"/>
      <c r="BQ94" s="230"/>
      <c r="BR94" s="230"/>
      <c r="BS94" s="230"/>
      <c r="BT94" s="230"/>
      <c r="BU94" s="230"/>
      <c r="BV94" s="230"/>
      <c r="BW94" s="230"/>
      <c r="BX94" s="230"/>
      <c r="BY94" s="230"/>
      <c r="BZ94" s="230"/>
      <c r="CA94" s="230"/>
      <c r="CB94" s="230"/>
      <c r="CC94" s="230"/>
      <c r="CD94" s="230"/>
      <c r="CE94" s="230"/>
      <c r="CF94" s="230"/>
      <c r="CG94" s="230"/>
      <c r="CH94" s="230"/>
      <c r="CI94" s="230"/>
      <c r="CJ94" s="230"/>
      <c r="CK94" s="230"/>
      <c r="CL94" s="230"/>
      <c r="CM94" s="230"/>
      <c r="CN94" s="230"/>
      <c r="CO94" s="230"/>
      <c r="CP94" s="230"/>
      <c r="CQ94" s="230"/>
      <c r="CR94" s="230"/>
      <c r="CS94" s="230"/>
      <c r="CT94" s="230"/>
      <c r="CU94" s="230"/>
      <c r="CV94" s="230"/>
      <c r="CW94" s="230"/>
      <c r="CX94" s="230"/>
      <c r="CY94" s="230"/>
      <c r="CZ94" s="230"/>
      <c r="DA94" s="230"/>
      <c r="DB94" s="230"/>
      <c r="DC94" s="230"/>
      <c r="DD94" s="230"/>
      <c r="DE94" s="230"/>
      <c r="DF94" s="230"/>
      <c r="DG94" s="230"/>
      <c r="DH94" s="230"/>
      <c r="DI94" s="230"/>
      <c r="DJ94" s="230"/>
      <c r="DK94" s="230"/>
      <c r="DL94" s="230"/>
      <c r="DM94" s="230"/>
      <c r="DN94" s="230"/>
      <c r="DO94" s="230"/>
      <c r="DP94" s="230"/>
      <c r="DQ94" s="230"/>
      <c r="DR94" s="230"/>
      <c r="DS94" s="230"/>
      <c r="DT94" s="230"/>
      <c r="DU94" s="230"/>
      <c r="DV94" s="230"/>
      <c r="DW94" s="230"/>
      <c r="DX94" s="230"/>
      <c r="DY94" s="230"/>
      <c r="DZ94" s="230"/>
      <c r="EA94" s="230"/>
      <c r="EB94" s="230"/>
      <c r="EC94" s="230"/>
      <c r="ED94" s="230"/>
      <c r="EE94" s="230"/>
      <c r="EF94" s="230"/>
      <c r="EG94" s="230"/>
      <c r="EH94" s="230"/>
      <c r="EI94" s="230"/>
      <c r="EJ94" s="230"/>
      <c r="EK94" s="230"/>
      <c r="EL94" s="230"/>
      <c r="EM94" s="230"/>
      <c r="EN94" s="230"/>
      <c r="EO94" s="230"/>
      <c r="EP94" s="230"/>
      <c r="EQ94" s="230"/>
      <c r="ER94" s="230"/>
      <c r="ES94" s="230"/>
      <c r="ET94" s="230"/>
      <c r="EU94" s="230"/>
      <c r="EV94" s="230"/>
      <c r="EW94" s="230"/>
      <c r="EX94" s="230"/>
      <c r="EY94" s="230"/>
      <c r="EZ94" s="230"/>
      <c r="FA94" s="230"/>
      <c r="FB94" s="230"/>
      <c r="FC94" s="230"/>
      <c r="FD94" s="230"/>
      <c r="FE94" s="230"/>
      <c r="FF94" s="230"/>
      <c r="FG94" s="230"/>
      <c r="FH94" s="230"/>
      <c r="FI94" s="230"/>
      <c r="FJ94" s="230"/>
      <c r="FK94" s="230"/>
      <c r="FL94" s="230"/>
      <c r="FM94" s="230"/>
      <c r="FN94" s="230"/>
      <c r="FO94" s="230"/>
      <c r="FP94" s="230"/>
      <c r="FQ94" s="230"/>
      <c r="FR94" s="230"/>
      <c r="FS94" s="230"/>
      <c r="FT94" s="230"/>
      <c r="FU94" s="230"/>
      <c r="FV94" s="230"/>
      <c r="FW94" s="230"/>
      <c r="FX94" s="230"/>
      <c r="FY94" s="230"/>
      <c r="FZ94" s="230"/>
      <c r="GA94" s="230"/>
      <c r="GB94" s="230"/>
      <c r="GC94" s="230"/>
      <c r="GD94" s="230"/>
      <c r="GE94" s="230"/>
      <c r="GF94" s="230"/>
      <c r="GG94" s="230"/>
      <c r="GH94" s="230"/>
      <c r="GI94" s="230"/>
      <c r="GJ94" s="230"/>
      <c r="GK94" s="230"/>
      <c r="GL94" s="230"/>
      <c r="GM94" s="230"/>
      <c r="GN94" s="230"/>
      <c r="GO94" s="230"/>
      <c r="GP94" s="230"/>
      <c r="GQ94" s="230"/>
      <c r="GR94" s="230"/>
      <c r="GS94" s="230"/>
      <c r="GT94" s="230"/>
      <c r="GU94" s="230"/>
      <c r="GV94" s="230"/>
      <c r="GW94" s="230"/>
      <c r="GX94" s="230"/>
      <c r="GY94" s="230"/>
      <c r="GZ94" s="230"/>
      <c r="HA94" s="230"/>
      <c r="HB94" s="230"/>
      <c r="HC94" s="230"/>
      <c r="HD94" s="230"/>
      <c r="HE94" s="230"/>
      <c r="HF94" s="230"/>
      <c r="HG94" s="230"/>
      <c r="HH94" s="230"/>
      <c r="HI94" s="230"/>
      <c r="HJ94" s="230"/>
      <c r="HK94" s="230"/>
      <c r="HL94" s="230"/>
      <c r="HM94" s="230"/>
      <c r="HN94" s="230"/>
      <c r="HO94" s="230"/>
      <c r="HP94" s="230"/>
      <c r="HQ94" s="230"/>
      <c r="HR94" s="230"/>
      <c r="HS94" s="230"/>
      <c r="HT94" s="230"/>
      <c r="HU94" s="230"/>
      <c r="HV94" s="230"/>
      <c r="HW94" s="230"/>
      <c r="HX94" s="230"/>
      <c r="HY94" s="230"/>
      <c r="HZ94" s="230"/>
      <c r="IA94" s="230"/>
      <c r="IB94" s="230"/>
      <c r="IC94" s="230"/>
      <c r="ID94" s="230"/>
      <c r="IE94" s="230"/>
      <c r="IF94" s="230"/>
      <c r="IG94" s="230"/>
      <c r="IH94" s="230"/>
      <c r="II94" s="230"/>
      <c r="IJ94" s="230"/>
      <c r="IK94" s="230"/>
      <c r="IL94" s="230"/>
      <c r="IM94" s="230"/>
      <c r="IN94" s="230"/>
      <c r="IO94" s="230"/>
      <c r="IP94" s="230"/>
      <c r="IQ94" s="230"/>
    </row>
    <row r="95" spans="1:252" s="73" customFormat="1">
      <c r="A95" s="432" t="s">
        <v>987</v>
      </c>
      <c r="B95" s="421">
        <f>107942.65/45797.5*B82*1.5</f>
        <v>2512.2784133413397</v>
      </c>
      <c r="C95" s="193">
        <f>ROUND(B95/B82/12,2)</f>
        <v>0.28999999999999998</v>
      </c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30"/>
      <c r="AY95" s="230"/>
      <c r="AZ95" s="230"/>
      <c r="BA95" s="230"/>
      <c r="BB95" s="230"/>
      <c r="BC95" s="230"/>
      <c r="BD95" s="230"/>
      <c r="BE95" s="230"/>
      <c r="BF95" s="230"/>
      <c r="BG95" s="230"/>
      <c r="BH95" s="230"/>
      <c r="BI95" s="230"/>
      <c r="BJ95" s="230"/>
      <c r="BK95" s="230"/>
      <c r="BL95" s="230"/>
      <c r="BM95" s="230"/>
      <c r="BN95" s="230"/>
      <c r="BO95" s="230"/>
      <c r="BP95" s="230"/>
      <c r="BQ95" s="230"/>
      <c r="BR95" s="230"/>
      <c r="BS95" s="230"/>
      <c r="BT95" s="230"/>
      <c r="BU95" s="230"/>
      <c r="BV95" s="230"/>
      <c r="BW95" s="230"/>
      <c r="BX95" s="230"/>
      <c r="BY95" s="230"/>
      <c r="BZ95" s="230"/>
      <c r="CA95" s="230"/>
      <c r="CB95" s="230"/>
      <c r="CC95" s="230"/>
      <c r="CD95" s="230"/>
      <c r="CE95" s="230"/>
      <c r="CF95" s="230"/>
      <c r="CG95" s="230"/>
      <c r="CH95" s="230"/>
      <c r="CI95" s="230"/>
      <c r="CJ95" s="230"/>
      <c r="CK95" s="230"/>
      <c r="CL95" s="230"/>
      <c r="CM95" s="230"/>
      <c r="CN95" s="230"/>
      <c r="CO95" s="230"/>
      <c r="CP95" s="230"/>
      <c r="CQ95" s="230"/>
      <c r="CR95" s="230"/>
      <c r="CS95" s="230"/>
      <c r="CT95" s="230"/>
      <c r="CU95" s="230"/>
      <c r="CV95" s="230"/>
      <c r="CW95" s="230"/>
      <c r="CX95" s="230"/>
      <c r="CY95" s="230"/>
      <c r="CZ95" s="230"/>
      <c r="DA95" s="230"/>
      <c r="DB95" s="230"/>
      <c r="DC95" s="230"/>
      <c r="DD95" s="230"/>
      <c r="DE95" s="230"/>
      <c r="DF95" s="230"/>
      <c r="DG95" s="230"/>
      <c r="DH95" s="230"/>
      <c r="DI95" s="230"/>
      <c r="DJ95" s="230"/>
      <c r="DK95" s="230"/>
      <c r="DL95" s="230"/>
      <c r="DM95" s="230"/>
      <c r="DN95" s="230"/>
      <c r="DO95" s="230"/>
      <c r="DP95" s="230"/>
      <c r="DQ95" s="230"/>
      <c r="DR95" s="230"/>
      <c r="DS95" s="230"/>
      <c r="DT95" s="230"/>
      <c r="DU95" s="230"/>
      <c r="DV95" s="230"/>
      <c r="DW95" s="230"/>
      <c r="DX95" s="230"/>
      <c r="DY95" s="230"/>
      <c r="DZ95" s="230"/>
      <c r="EA95" s="230"/>
      <c r="EB95" s="230"/>
      <c r="EC95" s="230"/>
      <c r="ED95" s="230"/>
      <c r="EE95" s="230"/>
      <c r="EF95" s="230"/>
      <c r="EG95" s="230"/>
      <c r="EH95" s="230"/>
      <c r="EI95" s="230"/>
      <c r="EJ95" s="230"/>
      <c r="EK95" s="230"/>
      <c r="EL95" s="230"/>
      <c r="EM95" s="230"/>
      <c r="EN95" s="230"/>
      <c r="EO95" s="230"/>
      <c r="EP95" s="230"/>
      <c r="EQ95" s="230"/>
      <c r="ER95" s="230"/>
      <c r="ES95" s="230"/>
      <c r="ET95" s="230"/>
      <c r="EU95" s="230"/>
      <c r="EV95" s="230"/>
      <c r="EW95" s="230"/>
      <c r="EX95" s="230"/>
      <c r="EY95" s="230"/>
      <c r="EZ95" s="230"/>
      <c r="FA95" s="230"/>
      <c r="FB95" s="230"/>
      <c r="FC95" s="230"/>
      <c r="FD95" s="230"/>
      <c r="FE95" s="230"/>
      <c r="FF95" s="230"/>
      <c r="FG95" s="230"/>
      <c r="FH95" s="230"/>
      <c r="FI95" s="230"/>
      <c r="FJ95" s="230"/>
      <c r="FK95" s="230"/>
      <c r="FL95" s="230"/>
      <c r="FM95" s="230"/>
      <c r="FN95" s="230"/>
      <c r="FO95" s="230"/>
      <c r="FP95" s="230"/>
      <c r="FQ95" s="230"/>
      <c r="FR95" s="230"/>
      <c r="FS95" s="230"/>
      <c r="FT95" s="230"/>
      <c r="FU95" s="230"/>
      <c r="FV95" s="230"/>
      <c r="FW95" s="230"/>
      <c r="FX95" s="230"/>
      <c r="FY95" s="230"/>
      <c r="FZ95" s="230"/>
      <c r="GA95" s="230"/>
      <c r="GB95" s="230"/>
      <c r="GC95" s="230"/>
      <c r="GD95" s="230"/>
      <c r="GE95" s="230"/>
      <c r="GF95" s="230"/>
      <c r="GG95" s="230"/>
      <c r="GH95" s="230"/>
      <c r="GI95" s="230"/>
      <c r="GJ95" s="230"/>
      <c r="GK95" s="230"/>
      <c r="GL95" s="230"/>
      <c r="GM95" s="230"/>
      <c r="GN95" s="230"/>
      <c r="GO95" s="230"/>
      <c r="GP95" s="230"/>
      <c r="GQ95" s="230"/>
      <c r="GR95" s="230"/>
      <c r="GS95" s="230"/>
      <c r="GT95" s="230"/>
      <c r="GU95" s="230"/>
      <c r="GV95" s="230"/>
      <c r="GW95" s="230"/>
      <c r="GX95" s="230"/>
      <c r="GY95" s="230"/>
      <c r="GZ95" s="230"/>
      <c r="HA95" s="230"/>
      <c r="HB95" s="230"/>
      <c r="HC95" s="230"/>
      <c r="HD95" s="230"/>
      <c r="HE95" s="230"/>
      <c r="HF95" s="230"/>
      <c r="HG95" s="230"/>
      <c r="HH95" s="230"/>
      <c r="HI95" s="230"/>
      <c r="HJ95" s="230"/>
      <c r="HK95" s="230"/>
      <c r="HL95" s="230"/>
      <c r="HM95" s="230"/>
      <c r="HN95" s="230"/>
      <c r="HO95" s="230"/>
      <c r="HP95" s="230"/>
      <c r="HQ95" s="230"/>
      <c r="HR95" s="230"/>
      <c r="HS95" s="230"/>
      <c r="HT95" s="230"/>
      <c r="HU95" s="230"/>
      <c r="HV95" s="230"/>
      <c r="HW95" s="230"/>
      <c r="HX95" s="230"/>
      <c r="HY95" s="230"/>
      <c r="HZ95" s="230"/>
      <c r="IA95" s="230"/>
      <c r="IB95" s="230"/>
      <c r="IC95" s="230"/>
      <c r="ID95" s="230"/>
      <c r="IE95" s="230"/>
      <c r="IF95" s="230"/>
      <c r="IG95" s="230"/>
      <c r="IH95" s="230"/>
      <c r="II95" s="230"/>
      <c r="IJ95" s="230"/>
      <c r="IK95" s="230"/>
      <c r="IL95" s="230"/>
      <c r="IM95" s="230"/>
      <c r="IN95" s="230"/>
      <c r="IO95" s="230"/>
      <c r="IP95" s="230"/>
      <c r="IQ95" s="230"/>
    </row>
    <row r="96" spans="1:252" s="73" customFormat="1">
      <c r="A96" s="432" t="s">
        <v>908</v>
      </c>
      <c r="B96" s="421">
        <f>1800*8*1.5</f>
        <v>21600</v>
      </c>
      <c r="C96" s="193">
        <f>ROUND(B96/B82/12,2)</f>
        <v>2.5299999999999998</v>
      </c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0"/>
      <c r="BD96" s="230"/>
      <c r="BE96" s="230"/>
      <c r="BF96" s="230"/>
      <c r="BG96" s="230"/>
      <c r="BH96" s="230"/>
      <c r="BI96" s="230"/>
      <c r="BJ96" s="230"/>
      <c r="BK96" s="230"/>
      <c r="BL96" s="230"/>
      <c r="BM96" s="230"/>
      <c r="BN96" s="230"/>
      <c r="BO96" s="230"/>
      <c r="BP96" s="230"/>
      <c r="BQ96" s="230"/>
      <c r="BR96" s="230"/>
      <c r="BS96" s="230"/>
      <c r="BT96" s="230"/>
      <c r="BU96" s="230"/>
      <c r="BV96" s="230"/>
      <c r="BW96" s="230"/>
      <c r="BX96" s="230"/>
      <c r="BY96" s="230"/>
      <c r="BZ96" s="230"/>
      <c r="CA96" s="230"/>
      <c r="CB96" s="230"/>
      <c r="CC96" s="230"/>
      <c r="CD96" s="230"/>
      <c r="CE96" s="230"/>
      <c r="CF96" s="230"/>
      <c r="CG96" s="230"/>
      <c r="CH96" s="230"/>
      <c r="CI96" s="230"/>
      <c r="CJ96" s="230"/>
      <c r="CK96" s="230"/>
      <c r="CL96" s="230"/>
      <c r="CM96" s="230"/>
      <c r="CN96" s="230"/>
      <c r="CO96" s="230"/>
      <c r="CP96" s="230"/>
      <c r="CQ96" s="230"/>
      <c r="CR96" s="230"/>
      <c r="CS96" s="230"/>
      <c r="CT96" s="230"/>
      <c r="CU96" s="230"/>
      <c r="CV96" s="230"/>
      <c r="CW96" s="230"/>
      <c r="CX96" s="230"/>
      <c r="CY96" s="230"/>
      <c r="CZ96" s="230"/>
      <c r="DA96" s="230"/>
      <c r="DB96" s="230"/>
      <c r="DC96" s="230"/>
      <c r="DD96" s="230"/>
      <c r="DE96" s="230"/>
      <c r="DF96" s="230"/>
      <c r="DG96" s="230"/>
      <c r="DH96" s="230"/>
      <c r="DI96" s="230"/>
      <c r="DJ96" s="230"/>
      <c r="DK96" s="230"/>
      <c r="DL96" s="230"/>
      <c r="DM96" s="230"/>
      <c r="DN96" s="230"/>
      <c r="DO96" s="230"/>
      <c r="DP96" s="230"/>
      <c r="DQ96" s="230"/>
      <c r="DR96" s="230"/>
      <c r="DS96" s="230"/>
      <c r="DT96" s="230"/>
      <c r="DU96" s="230"/>
      <c r="DV96" s="230"/>
      <c r="DW96" s="230"/>
      <c r="DX96" s="230"/>
      <c r="DY96" s="230"/>
      <c r="DZ96" s="230"/>
      <c r="EA96" s="230"/>
      <c r="EB96" s="230"/>
      <c r="EC96" s="230"/>
      <c r="ED96" s="230"/>
      <c r="EE96" s="230"/>
      <c r="EF96" s="230"/>
      <c r="EG96" s="230"/>
      <c r="EH96" s="230"/>
      <c r="EI96" s="230"/>
      <c r="EJ96" s="230"/>
      <c r="EK96" s="230"/>
      <c r="EL96" s="230"/>
      <c r="EM96" s="230"/>
      <c r="EN96" s="230"/>
      <c r="EO96" s="230"/>
      <c r="EP96" s="230"/>
      <c r="EQ96" s="230"/>
      <c r="ER96" s="230"/>
      <c r="ES96" s="230"/>
      <c r="ET96" s="230"/>
      <c r="EU96" s="230"/>
      <c r="EV96" s="230"/>
      <c r="EW96" s="230"/>
      <c r="EX96" s="230"/>
      <c r="EY96" s="230"/>
      <c r="EZ96" s="230"/>
      <c r="FA96" s="230"/>
      <c r="FB96" s="230"/>
      <c r="FC96" s="230"/>
      <c r="FD96" s="230"/>
      <c r="FE96" s="230"/>
      <c r="FF96" s="230"/>
      <c r="FG96" s="230"/>
      <c r="FH96" s="230"/>
      <c r="FI96" s="230"/>
      <c r="FJ96" s="230"/>
      <c r="FK96" s="230"/>
      <c r="FL96" s="230"/>
      <c r="FM96" s="230"/>
      <c r="FN96" s="230"/>
      <c r="FO96" s="230"/>
      <c r="FP96" s="230"/>
      <c r="FQ96" s="230"/>
      <c r="FR96" s="230"/>
      <c r="FS96" s="230"/>
      <c r="FT96" s="230"/>
      <c r="FU96" s="230"/>
      <c r="FV96" s="230"/>
      <c r="FW96" s="230"/>
      <c r="FX96" s="230"/>
      <c r="FY96" s="230"/>
      <c r="FZ96" s="230"/>
      <c r="GA96" s="230"/>
      <c r="GB96" s="230"/>
      <c r="GC96" s="230"/>
      <c r="GD96" s="230"/>
      <c r="GE96" s="230"/>
      <c r="GF96" s="230"/>
      <c r="GG96" s="230"/>
      <c r="GH96" s="230"/>
      <c r="GI96" s="230"/>
      <c r="GJ96" s="230"/>
      <c r="GK96" s="230"/>
      <c r="GL96" s="230"/>
      <c r="GM96" s="230"/>
      <c r="GN96" s="230"/>
      <c r="GO96" s="230"/>
      <c r="GP96" s="230"/>
      <c r="GQ96" s="230"/>
      <c r="GR96" s="230"/>
      <c r="GS96" s="230"/>
      <c r="GT96" s="230"/>
      <c r="GU96" s="230"/>
      <c r="GV96" s="230"/>
      <c r="GW96" s="230"/>
      <c r="GX96" s="230"/>
      <c r="GY96" s="230"/>
      <c r="GZ96" s="230"/>
      <c r="HA96" s="230"/>
      <c r="HB96" s="230"/>
      <c r="HC96" s="230"/>
      <c r="HD96" s="230"/>
      <c r="HE96" s="230"/>
      <c r="HF96" s="230"/>
      <c r="HG96" s="230"/>
      <c r="HH96" s="230"/>
      <c r="HI96" s="230"/>
      <c r="HJ96" s="230"/>
      <c r="HK96" s="230"/>
      <c r="HL96" s="230"/>
      <c r="HM96" s="230"/>
      <c r="HN96" s="230"/>
      <c r="HO96" s="230"/>
      <c r="HP96" s="230"/>
      <c r="HQ96" s="230"/>
      <c r="HR96" s="230"/>
      <c r="HS96" s="230"/>
      <c r="HT96" s="230"/>
      <c r="HU96" s="230"/>
      <c r="HV96" s="230"/>
      <c r="HW96" s="230"/>
      <c r="HX96" s="230"/>
      <c r="HY96" s="230"/>
      <c r="HZ96" s="230"/>
      <c r="IA96" s="230"/>
      <c r="IB96" s="230"/>
      <c r="IC96" s="230"/>
      <c r="ID96" s="230"/>
      <c r="IE96" s="230"/>
      <c r="IF96" s="230"/>
      <c r="IG96" s="230"/>
      <c r="IH96" s="230"/>
      <c r="II96" s="230"/>
      <c r="IJ96" s="230"/>
      <c r="IK96" s="230"/>
      <c r="IL96" s="230"/>
      <c r="IM96" s="230"/>
      <c r="IN96" s="230"/>
      <c r="IO96" s="230"/>
      <c r="IP96" s="230"/>
      <c r="IQ96" s="230"/>
    </row>
    <row r="97" spans="1:251" s="75" customFormat="1">
      <c r="A97" s="432" t="s">
        <v>1580</v>
      </c>
      <c r="B97" s="421">
        <v>0</v>
      </c>
      <c r="C97" s="213">
        <f>ROUND(B97/B82/12,2)</f>
        <v>0</v>
      </c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  <c r="EN97" s="197"/>
      <c r="EO97" s="197"/>
      <c r="EP97" s="197"/>
      <c r="EQ97" s="197"/>
      <c r="ER97" s="197"/>
      <c r="ES97" s="197"/>
      <c r="ET97" s="197"/>
      <c r="EU97" s="197"/>
      <c r="EV97" s="197"/>
      <c r="EW97" s="197"/>
      <c r="EX97" s="197"/>
      <c r="EY97" s="197"/>
      <c r="EZ97" s="197"/>
      <c r="FA97" s="197"/>
      <c r="FB97" s="197"/>
      <c r="FC97" s="197"/>
      <c r="FD97" s="197"/>
      <c r="FE97" s="197"/>
      <c r="FF97" s="197"/>
      <c r="FG97" s="197"/>
      <c r="FH97" s="197"/>
      <c r="FI97" s="197"/>
      <c r="FJ97" s="197"/>
      <c r="FK97" s="197"/>
      <c r="FL97" s="197"/>
      <c r="FM97" s="197"/>
      <c r="FN97" s="197"/>
      <c r="FO97" s="197"/>
      <c r="FP97" s="197"/>
      <c r="FQ97" s="197"/>
      <c r="FR97" s="197"/>
      <c r="FS97" s="197"/>
      <c r="FT97" s="197"/>
      <c r="FU97" s="197"/>
      <c r="FV97" s="197"/>
      <c r="FW97" s="197"/>
      <c r="FX97" s="197"/>
      <c r="FY97" s="197"/>
      <c r="FZ97" s="197"/>
      <c r="GA97" s="197"/>
      <c r="GB97" s="197"/>
      <c r="GC97" s="197"/>
      <c r="GD97" s="197"/>
      <c r="GE97" s="197"/>
      <c r="GF97" s="197"/>
      <c r="GG97" s="197"/>
      <c r="GH97" s="197"/>
      <c r="GI97" s="197"/>
      <c r="GJ97" s="197"/>
      <c r="GK97" s="197"/>
      <c r="GL97" s="197"/>
      <c r="GM97" s="197"/>
      <c r="GN97" s="197"/>
      <c r="GO97" s="197"/>
      <c r="GP97" s="197"/>
      <c r="GQ97" s="197"/>
      <c r="GR97" s="197"/>
      <c r="GS97" s="197"/>
      <c r="GT97" s="197"/>
      <c r="GU97" s="197"/>
      <c r="GV97" s="197"/>
      <c r="GW97" s="197"/>
      <c r="GX97" s="197"/>
      <c r="GY97" s="197"/>
      <c r="GZ97" s="197"/>
      <c r="HA97" s="197"/>
      <c r="HB97" s="197"/>
      <c r="HC97" s="197"/>
      <c r="HD97" s="197"/>
      <c r="HE97" s="197"/>
      <c r="HF97" s="197"/>
      <c r="HG97" s="197"/>
      <c r="HH97" s="197"/>
      <c r="HI97" s="197"/>
      <c r="HJ97" s="197"/>
      <c r="HK97" s="197"/>
      <c r="HL97" s="197"/>
      <c r="HM97" s="197"/>
      <c r="HN97" s="197"/>
      <c r="HO97" s="197"/>
      <c r="HP97" s="197"/>
      <c r="HQ97" s="197"/>
      <c r="HR97" s="197"/>
      <c r="HS97" s="197"/>
      <c r="HT97" s="197"/>
      <c r="HU97" s="197"/>
      <c r="HV97" s="197"/>
      <c r="HW97" s="197"/>
      <c r="HX97" s="197"/>
      <c r="HY97" s="197"/>
      <c r="HZ97" s="197"/>
      <c r="IA97" s="197"/>
      <c r="IB97" s="197"/>
      <c r="IC97" s="197"/>
      <c r="ID97" s="197"/>
      <c r="IE97" s="197"/>
      <c r="IF97" s="197"/>
      <c r="IG97" s="197"/>
      <c r="IH97" s="197"/>
      <c r="II97" s="197"/>
      <c r="IJ97" s="197"/>
      <c r="IK97" s="197"/>
      <c r="IL97" s="197"/>
      <c r="IM97" s="197"/>
      <c r="IN97" s="197"/>
      <c r="IO97" s="197"/>
      <c r="IP97" s="197"/>
      <c r="IQ97" s="197"/>
    </row>
    <row r="98" spans="1:251" s="73" customFormat="1">
      <c r="A98" s="432" t="s">
        <v>600</v>
      </c>
      <c r="B98" s="421">
        <f>60*70*1.5</f>
        <v>6300</v>
      </c>
      <c r="C98" s="193">
        <f>ROUND(B98/B82/12,2)</f>
        <v>0.74</v>
      </c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230"/>
      <c r="CR98" s="230"/>
      <c r="CS98" s="230"/>
      <c r="CT98" s="230"/>
      <c r="CU98" s="230"/>
      <c r="CV98" s="230"/>
      <c r="CW98" s="230"/>
      <c r="CX98" s="230"/>
      <c r="CY98" s="230"/>
      <c r="CZ98" s="230"/>
      <c r="DA98" s="230"/>
      <c r="DB98" s="230"/>
      <c r="DC98" s="230"/>
      <c r="DD98" s="230"/>
      <c r="DE98" s="230"/>
      <c r="DF98" s="230"/>
      <c r="DG98" s="230"/>
      <c r="DH98" s="230"/>
      <c r="DI98" s="230"/>
      <c r="DJ98" s="230"/>
      <c r="DK98" s="230"/>
      <c r="DL98" s="230"/>
      <c r="DM98" s="230"/>
      <c r="DN98" s="230"/>
      <c r="DO98" s="230"/>
      <c r="DP98" s="230"/>
      <c r="DQ98" s="230"/>
      <c r="DR98" s="230"/>
      <c r="DS98" s="230"/>
      <c r="DT98" s="230"/>
      <c r="DU98" s="230"/>
      <c r="DV98" s="230"/>
      <c r="DW98" s="230"/>
      <c r="DX98" s="230"/>
      <c r="DY98" s="230"/>
      <c r="DZ98" s="230"/>
      <c r="EA98" s="230"/>
      <c r="EB98" s="230"/>
      <c r="EC98" s="230"/>
      <c r="ED98" s="230"/>
      <c r="EE98" s="230"/>
      <c r="EF98" s="230"/>
      <c r="EG98" s="230"/>
      <c r="EH98" s="230"/>
      <c r="EI98" s="230"/>
      <c r="EJ98" s="230"/>
      <c r="EK98" s="230"/>
      <c r="EL98" s="230"/>
      <c r="EM98" s="230"/>
      <c r="EN98" s="230"/>
      <c r="EO98" s="230"/>
      <c r="EP98" s="230"/>
      <c r="EQ98" s="230"/>
      <c r="ER98" s="230"/>
      <c r="ES98" s="230"/>
      <c r="ET98" s="230"/>
      <c r="EU98" s="230"/>
      <c r="EV98" s="230"/>
      <c r="EW98" s="230"/>
      <c r="EX98" s="230"/>
      <c r="EY98" s="230"/>
      <c r="EZ98" s="230"/>
      <c r="FA98" s="230"/>
      <c r="FB98" s="230"/>
      <c r="FC98" s="230"/>
      <c r="FD98" s="230"/>
      <c r="FE98" s="230"/>
      <c r="FF98" s="230"/>
      <c r="FG98" s="230"/>
      <c r="FH98" s="230"/>
      <c r="FI98" s="230"/>
      <c r="FJ98" s="230"/>
      <c r="FK98" s="230"/>
      <c r="FL98" s="230"/>
      <c r="FM98" s="230"/>
      <c r="FN98" s="230"/>
      <c r="FO98" s="230"/>
      <c r="FP98" s="230"/>
      <c r="FQ98" s="230"/>
      <c r="FR98" s="230"/>
      <c r="FS98" s="230"/>
      <c r="FT98" s="230"/>
      <c r="FU98" s="230"/>
      <c r="FV98" s="230"/>
      <c r="FW98" s="230"/>
      <c r="FX98" s="230"/>
      <c r="FY98" s="230"/>
      <c r="FZ98" s="230"/>
      <c r="GA98" s="230"/>
      <c r="GB98" s="230"/>
      <c r="GC98" s="230"/>
      <c r="GD98" s="230"/>
      <c r="GE98" s="230"/>
      <c r="GF98" s="230"/>
      <c r="GG98" s="230"/>
      <c r="GH98" s="230"/>
      <c r="GI98" s="230"/>
      <c r="GJ98" s="230"/>
      <c r="GK98" s="230"/>
      <c r="GL98" s="230"/>
      <c r="GM98" s="230"/>
      <c r="GN98" s="230"/>
      <c r="GO98" s="230"/>
      <c r="GP98" s="230"/>
      <c r="GQ98" s="230"/>
      <c r="GR98" s="230"/>
      <c r="GS98" s="230"/>
      <c r="GT98" s="230"/>
      <c r="GU98" s="230"/>
      <c r="GV98" s="230"/>
      <c r="GW98" s="230"/>
      <c r="GX98" s="230"/>
      <c r="GY98" s="230"/>
      <c r="GZ98" s="230"/>
      <c r="HA98" s="230"/>
      <c r="HB98" s="230"/>
      <c r="HC98" s="230"/>
      <c r="HD98" s="230"/>
      <c r="HE98" s="230"/>
      <c r="HF98" s="230"/>
      <c r="HG98" s="230"/>
      <c r="HH98" s="230"/>
      <c r="HI98" s="230"/>
      <c r="HJ98" s="230"/>
      <c r="HK98" s="230"/>
      <c r="HL98" s="230"/>
      <c r="HM98" s="230"/>
      <c r="HN98" s="230"/>
      <c r="HO98" s="230"/>
      <c r="HP98" s="230"/>
      <c r="HQ98" s="230"/>
      <c r="HR98" s="230"/>
      <c r="HS98" s="230"/>
      <c r="HT98" s="230"/>
      <c r="HU98" s="230"/>
      <c r="HV98" s="230"/>
      <c r="HW98" s="230"/>
      <c r="HX98" s="230"/>
      <c r="HY98" s="230"/>
      <c r="HZ98" s="230"/>
      <c r="IA98" s="230"/>
      <c r="IB98" s="230"/>
      <c r="IC98" s="230"/>
      <c r="ID98" s="230"/>
      <c r="IE98" s="230"/>
      <c r="IF98" s="230"/>
      <c r="IG98" s="230"/>
      <c r="IH98" s="230"/>
      <c r="II98" s="230"/>
      <c r="IJ98" s="230"/>
      <c r="IK98" s="230"/>
      <c r="IL98" s="230"/>
      <c r="IM98" s="230"/>
      <c r="IN98" s="230"/>
      <c r="IO98" s="230"/>
      <c r="IP98" s="230"/>
      <c r="IQ98" s="230"/>
    </row>
    <row r="99" spans="1:251" s="73" customFormat="1">
      <c r="A99" s="432" t="s">
        <v>611</v>
      </c>
      <c r="B99" s="421">
        <f>0.01*9100*12*1.302*1.5</f>
        <v>2132.6760000000004</v>
      </c>
      <c r="C99" s="193">
        <f>ROUND(B99/B82/12,2)</f>
        <v>0.25</v>
      </c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30"/>
      <c r="AY99" s="230"/>
      <c r="AZ99" s="230"/>
      <c r="BA99" s="230"/>
      <c r="BB99" s="230"/>
      <c r="BC99" s="230"/>
      <c r="BD99" s="230"/>
      <c r="BE99" s="230"/>
      <c r="BF99" s="230"/>
      <c r="BG99" s="230"/>
      <c r="BH99" s="230"/>
      <c r="BI99" s="230"/>
      <c r="BJ99" s="230"/>
      <c r="BK99" s="230"/>
      <c r="BL99" s="230"/>
      <c r="BM99" s="230"/>
      <c r="BN99" s="230"/>
      <c r="BO99" s="230"/>
      <c r="BP99" s="230"/>
      <c r="BQ99" s="230"/>
      <c r="BR99" s="230"/>
      <c r="BS99" s="230"/>
      <c r="BT99" s="230"/>
      <c r="BU99" s="230"/>
      <c r="BV99" s="230"/>
      <c r="BW99" s="230"/>
      <c r="BX99" s="230"/>
      <c r="BY99" s="230"/>
      <c r="BZ99" s="230"/>
      <c r="CA99" s="230"/>
      <c r="CB99" s="230"/>
      <c r="CC99" s="230"/>
      <c r="CD99" s="230"/>
      <c r="CE99" s="230"/>
      <c r="CF99" s="230"/>
      <c r="CG99" s="230"/>
      <c r="CH99" s="230"/>
      <c r="CI99" s="230"/>
      <c r="CJ99" s="230"/>
      <c r="CK99" s="230"/>
      <c r="CL99" s="230"/>
      <c r="CM99" s="230"/>
      <c r="CN99" s="230"/>
      <c r="CO99" s="230"/>
      <c r="CP99" s="230"/>
      <c r="CQ99" s="230"/>
      <c r="CR99" s="230"/>
      <c r="CS99" s="230"/>
      <c r="CT99" s="230"/>
      <c r="CU99" s="230"/>
      <c r="CV99" s="230"/>
      <c r="CW99" s="230"/>
      <c r="CX99" s="230"/>
      <c r="CY99" s="230"/>
      <c r="CZ99" s="230"/>
      <c r="DA99" s="230"/>
      <c r="DB99" s="230"/>
      <c r="DC99" s="230"/>
      <c r="DD99" s="230"/>
      <c r="DE99" s="230"/>
      <c r="DF99" s="230"/>
      <c r="DG99" s="230"/>
      <c r="DH99" s="230"/>
      <c r="DI99" s="230"/>
      <c r="DJ99" s="230"/>
      <c r="DK99" s="230"/>
      <c r="DL99" s="230"/>
      <c r="DM99" s="230"/>
      <c r="DN99" s="230"/>
      <c r="DO99" s="230"/>
      <c r="DP99" s="230"/>
      <c r="DQ99" s="230"/>
      <c r="DR99" s="230"/>
      <c r="DS99" s="230"/>
      <c r="DT99" s="230"/>
      <c r="DU99" s="230"/>
      <c r="DV99" s="230"/>
      <c r="DW99" s="230"/>
      <c r="DX99" s="230"/>
      <c r="DY99" s="230"/>
      <c r="DZ99" s="230"/>
      <c r="EA99" s="230"/>
      <c r="EB99" s="230"/>
      <c r="EC99" s="230"/>
      <c r="ED99" s="230"/>
      <c r="EE99" s="230"/>
      <c r="EF99" s="230"/>
      <c r="EG99" s="230"/>
      <c r="EH99" s="230"/>
      <c r="EI99" s="230"/>
      <c r="EJ99" s="230"/>
      <c r="EK99" s="230"/>
      <c r="EL99" s="230"/>
      <c r="EM99" s="230"/>
      <c r="EN99" s="230"/>
      <c r="EO99" s="230"/>
      <c r="EP99" s="230"/>
      <c r="EQ99" s="230"/>
      <c r="ER99" s="230"/>
      <c r="ES99" s="230"/>
      <c r="ET99" s="230"/>
      <c r="EU99" s="230"/>
      <c r="EV99" s="230"/>
      <c r="EW99" s="230"/>
      <c r="EX99" s="230"/>
      <c r="EY99" s="230"/>
      <c r="EZ99" s="230"/>
      <c r="FA99" s="230"/>
      <c r="FB99" s="230"/>
      <c r="FC99" s="230"/>
      <c r="FD99" s="230"/>
      <c r="FE99" s="230"/>
      <c r="FF99" s="230"/>
      <c r="FG99" s="230"/>
      <c r="FH99" s="230"/>
      <c r="FI99" s="230"/>
      <c r="FJ99" s="230"/>
      <c r="FK99" s="230"/>
      <c r="FL99" s="230"/>
      <c r="FM99" s="230"/>
      <c r="FN99" s="230"/>
      <c r="FO99" s="230"/>
      <c r="FP99" s="230"/>
      <c r="FQ99" s="230"/>
      <c r="FR99" s="230"/>
      <c r="FS99" s="230"/>
      <c r="FT99" s="230"/>
      <c r="FU99" s="230"/>
      <c r="FV99" s="230"/>
      <c r="FW99" s="230"/>
      <c r="FX99" s="230"/>
      <c r="FY99" s="230"/>
      <c r="FZ99" s="230"/>
      <c r="GA99" s="230"/>
      <c r="GB99" s="230"/>
      <c r="GC99" s="230"/>
      <c r="GD99" s="230"/>
      <c r="GE99" s="230"/>
      <c r="GF99" s="230"/>
      <c r="GG99" s="230"/>
      <c r="GH99" s="230"/>
      <c r="GI99" s="230"/>
      <c r="GJ99" s="230"/>
      <c r="GK99" s="230"/>
      <c r="GL99" s="230"/>
      <c r="GM99" s="230"/>
      <c r="GN99" s="230"/>
      <c r="GO99" s="230"/>
      <c r="GP99" s="230"/>
      <c r="GQ99" s="230"/>
      <c r="GR99" s="230"/>
      <c r="GS99" s="230"/>
      <c r="GT99" s="230"/>
      <c r="GU99" s="230"/>
      <c r="GV99" s="230"/>
      <c r="GW99" s="230"/>
      <c r="GX99" s="230"/>
      <c r="GY99" s="230"/>
      <c r="GZ99" s="230"/>
      <c r="HA99" s="230"/>
      <c r="HB99" s="230"/>
      <c r="HC99" s="230"/>
      <c r="HD99" s="230"/>
      <c r="HE99" s="230"/>
      <c r="HF99" s="230"/>
      <c r="HG99" s="230"/>
      <c r="HH99" s="230"/>
      <c r="HI99" s="230"/>
      <c r="HJ99" s="230"/>
      <c r="HK99" s="230"/>
      <c r="HL99" s="230"/>
      <c r="HM99" s="230"/>
      <c r="HN99" s="230"/>
      <c r="HO99" s="230"/>
      <c r="HP99" s="230"/>
      <c r="HQ99" s="230"/>
      <c r="HR99" s="230"/>
      <c r="HS99" s="230"/>
      <c r="HT99" s="230"/>
      <c r="HU99" s="230"/>
      <c r="HV99" s="230"/>
      <c r="HW99" s="230"/>
      <c r="HX99" s="230"/>
      <c r="HY99" s="230"/>
      <c r="HZ99" s="230"/>
      <c r="IA99" s="230"/>
      <c r="IB99" s="230"/>
      <c r="IC99" s="230"/>
      <c r="ID99" s="230"/>
      <c r="IE99" s="230"/>
      <c r="IF99" s="230"/>
      <c r="IG99" s="230"/>
      <c r="IH99" s="230"/>
      <c r="II99" s="230"/>
      <c r="IJ99" s="230"/>
      <c r="IK99" s="230"/>
      <c r="IL99" s="230"/>
      <c r="IM99" s="230"/>
      <c r="IN99" s="230"/>
      <c r="IO99" s="230"/>
      <c r="IP99" s="230"/>
      <c r="IQ99" s="230"/>
    </row>
    <row r="100" spans="1:251" s="73" customFormat="1">
      <c r="A100" s="432" t="s">
        <v>602</v>
      </c>
      <c r="B100" s="421">
        <f>B51</f>
        <v>273</v>
      </c>
      <c r="C100" s="193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0"/>
      <c r="BL100" s="230"/>
      <c r="BM100" s="230"/>
      <c r="BN100" s="230"/>
      <c r="BO100" s="230"/>
      <c r="BP100" s="230"/>
      <c r="BQ100" s="230"/>
      <c r="BR100" s="230"/>
      <c r="BS100" s="230"/>
      <c r="BT100" s="230"/>
      <c r="BU100" s="230"/>
      <c r="BV100" s="230"/>
      <c r="BW100" s="230"/>
      <c r="BX100" s="230"/>
      <c r="BY100" s="230"/>
      <c r="BZ100" s="230"/>
      <c r="CA100" s="230"/>
      <c r="CB100" s="230"/>
      <c r="CC100" s="230"/>
      <c r="CD100" s="230"/>
      <c r="CE100" s="230"/>
      <c r="CF100" s="230"/>
      <c r="CG100" s="230"/>
      <c r="CH100" s="230"/>
      <c r="CI100" s="230"/>
      <c r="CJ100" s="230"/>
      <c r="CK100" s="230"/>
      <c r="CL100" s="230"/>
      <c r="CM100" s="230"/>
      <c r="CN100" s="230"/>
      <c r="CO100" s="230"/>
      <c r="CP100" s="230"/>
      <c r="CQ100" s="230"/>
      <c r="CR100" s="230"/>
      <c r="CS100" s="230"/>
      <c r="CT100" s="230"/>
      <c r="CU100" s="230"/>
      <c r="CV100" s="230"/>
      <c r="CW100" s="230"/>
      <c r="CX100" s="230"/>
      <c r="CY100" s="230"/>
      <c r="CZ100" s="230"/>
      <c r="DA100" s="230"/>
      <c r="DB100" s="230"/>
      <c r="DC100" s="230"/>
      <c r="DD100" s="230"/>
      <c r="DE100" s="230"/>
      <c r="DF100" s="230"/>
      <c r="DG100" s="230"/>
      <c r="DH100" s="230"/>
      <c r="DI100" s="230"/>
      <c r="DJ100" s="230"/>
      <c r="DK100" s="230"/>
      <c r="DL100" s="230"/>
      <c r="DM100" s="230"/>
      <c r="DN100" s="230"/>
      <c r="DO100" s="230"/>
      <c r="DP100" s="230"/>
      <c r="DQ100" s="230"/>
      <c r="DR100" s="230"/>
      <c r="DS100" s="230"/>
      <c r="DT100" s="230"/>
      <c r="DU100" s="230"/>
      <c r="DV100" s="230"/>
      <c r="DW100" s="230"/>
      <c r="DX100" s="230"/>
      <c r="DY100" s="230"/>
      <c r="DZ100" s="230"/>
      <c r="EA100" s="230"/>
      <c r="EB100" s="230"/>
      <c r="EC100" s="230"/>
      <c r="ED100" s="230"/>
      <c r="EE100" s="230"/>
      <c r="EF100" s="230"/>
      <c r="EG100" s="230"/>
      <c r="EH100" s="230"/>
      <c r="EI100" s="230"/>
      <c r="EJ100" s="230"/>
      <c r="EK100" s="230"/>
      <c r="EL100" s="230"/>
      <c r="EM100" s="230"/>
      <c r="EN100" s="230"/>
      <c r="EO100" s="230"/>
      <c r="EP100" s="230"/>
      <c r="EQ100" s="230"/>
      <c r="ER100" s="230"/>
      <c r="ES100" s="230"/>
      <c r="ET100" s="230"/>
      <c r="EU100" s="230"/>
      <c r="EV100" s="230"/>
      <c r="EW100" s="230"/>
      <c r="EX100" s="230"/>
      <c r="EY100" s="230"/>
      <c r="EZ100" s="230"/>
      <c r="FA100" s="230"/>
      <c r="FB100" s="230"/>
      <c r="FC100" s="230"/>
      <c r="FD100" s="230"/>
      <c r="FE100" s="230"/>
      <c r="FF100" s="230"/>
      <c r="FG100" s="230"/>
      <c r="FH100" s="230"/>
      <c r="FI100" s="230"/>
      <c r="FJ100" s="230"/>
      <c r="FK100" s="230"/>
      <c r="FL100" s="230"/>
      <c r="FM100" s="230"/>
      <c r="FN100" s="230"/>
      <c r="FO100" s="230"/>
      <c r="FP100" s="230"/>
      <c r="FQ100" s="230"/>
      <c r="FR100" s="230"/>
      <c r="FS100" s="230"/>
      <c r="FT100" s="230"/>
      <c r="FU100" s="230"/>
      <c r="FV100" s="230"/>
      <c r="FW100" s="230"/>
      <c r="FX100" s="230"/>
      <c r="FY100" s="230"/>
      <c r="FZ100" s="230"/>
      <c r="GA100" s="230"/>
      <c r="GB100" s="230"/>
      <c r="GC100" s="230"/>
      <c r="GD100" s="230"/>
      <c r="GE100" s="230"/>
      <c r="GF100" s="230"/>
      <c r="GG100" s="230"/>
      <c r="GH100" s="230"/>
      <c r="GI100" s="230"/>
      <c r="GJ100" s="230"/>
      <c r="GK100" s="230"/>
      <c r="GL100" s="230"/>
      <c r="GM100" s="230"/>
      <c r="GN100" s="230"/>
      <c r="GO100" s="230"/>
      <c r="GP100" s="230"/>
      <c r="GQ100" s="230"/>
      <c r="GR100" s="230"/>
      <c r="GS100" s="230"/>
      <c r="GT100" s="230"/>
      <c r="GU100" s="230"/>
      <c r="GV100" s="230"/>
      <c r="GW100" s="230"/>
      <c r="GX100" s="230"/>
      <c r="GY100" s="230"/>
      <c r="GZ100" s="230"/>
      <c r="HA100" s="230"/>
      <c r="HB100" s="230"/>
      <c r="HC100" s="230"/>
      <c r="HD100" s="230"/>
      <c r="HE100" s="230"/>
      <c r="HF100" s="230"/>
      <c r="HG100" s="230"/>
      <c r="HH100" s="230"/>
      <c r="HI100" s="230"/>
      <c r="HJ100" s="230"/>
      <c r="HK100" s="230"/>
      <c r="HL100" s="230"/>
      <c r="HM100" s="230"/>
      <c r="HN100" s="230"/>
      <c r="HO100" s="230"/>
      <c r="HP100" s="230"/>
      <c r="HQ100" s="230"/>
      <c r="HR100" s="230"/>
      <c r="HS100" s="230"/>
      <c r="HT100" s="230"/>
      <c r="HU100" s="230"/>
      <c r="HV100" s="230"/>
      <c r="HW100" s="230"/>
      <c r="HX100" s="230"/>
      <c r="HY100" s="230"/>
      <c r="HZ100" s="230"/>
      <c r="IA100" s="230"/>
      <c r="IB100" s="230"/>
      <c r="IC100" s="230"/>
      <c r="ID100" s="230"/>
      <c r="IE100" s="230"/>
      <c r="IF100" s="230"/>
      <c r="IG100" s="230"/>
      <c r="IH100" s="230"/>
      <c r="II100" s="230"/>
      <c r="IJ100" s="230"/>
      <c r="IK100" s="230"/>
      <c r="IL100" s="230"/>
      <c r="IM100" s="230"/>
      <c r="IN100" s="230"/>
      <c r="IO100" s="230"/>
      <c r="IP100" s="230"/>
      <c r="IQ100" s="230"/>
    </row>
    <row r="101" spans="1:251" s="73" customFormat="1">
      <c r="A101" s="432" t="s">
        <v>603</v>
      </c>
      <c r="B101" s="421">
        <f>B100*110*1.302*1.5</f>
        <v>58648.590000000011</v>
      </c>
      <c r="C101" s="193">
        <f>ROUND(B101/B82/12,2)</f>
        <v>6.88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30"/>
      <c r="BG101" s="230"/>
      <c r="BH101" s="230"/>
      <c r="BI101" s="230"/>
      <c r="BJ101" s="230"/>
      <c r="BK101" s="230"/>
      <c r="BL101" s="230"/>
      <c r="BM101" s="230"/>
      <c r="BN101" s="230"/>
      <c r="BO101" s="230"/>
      <c r="BP101" s="230"/>
      <c r="BQ101" s="230"/>
      <c r="BR101" s="230"/>
      <c r="BS101" s="230"/>
      <c r="BT101" s="230"/>
      <c r="BU101" s="230"/>
      <c r="BV101" s="230"/>
      <c r="BW101" s="230"/>
      <c r="BX101" s="230"/>
      <c r="BY101" s="230"/>
      <c r="BZ101" s="230"/>
      <c r="CA101" s="230"/>
      <c r="CB101" s="230"/>
      <c r="CC101" s="230"/>
      <c r="CD101" s="230"/>
      <c r="CE101" s="230"/>
      <c r="CF101" s="230"/>
      <c r="CG101" s="230"/>
      <c r="CH101" s="230"/>
      <c r="CI101" s="230"/>
      <c r="CJ101" s="230"/>
      <c r="CK101" s="230"/>
      <c r="CL101" s="230"/>
      <c r="CM101" s="230"/>
      <c r="CN101" s="230"/>
      <c r="CO101" s="230"/>
      <c r="CP101" s="230"/>
      <c r="CQ101" s="230"/>
      <c r="CR101" s="230"/>
      <c r="CS101" s="230"/>
      <c r="CT101" s="230"/>
      <c r="CU101" s="230"/>
      <c r="CV101" s="230"/>
      <c r="CW101" s="230"/>
      <c r="CX101" s="230"/>
      <c r="CY101" s="230"/>
      <c r="CZ101" s="230"/>
      <c r="DA101" s="230"/>
      <c r="DB101" s="230"/>
      <c r="DC101" s="230"/>
      <c r="DD101" s="230"/>
      <c r="DE101" s="230"/>
      <c r="DF101" s="230"/>
      <c r="DG101" s="230"/>
      <c r="DH101" s="230"/>
      <c r="DI101" s="230"/>
      <c r="DJ101" s="230"/>
      <c r="DK101" s="230"/>
      <c r="DL101" s="230"/>
      <c r="DM101" s="230"/>
      <c r="DN101" s="230"/>
      <c r="DO101" s="230"/>
      <c r="DP101" s="230"/>
      <c r="DQ101" s="230"/>
      <c r="DR101" s="230"/>
      <c r="DS101" s="230"/>
      <c r="DT101" s="230"/>
      <c r="DU101" s="230"/>
      <c r="DV101" s="230"/>
      <c r="DW101" s="230"/>
      <c r="DX101" s="230"/>
      <c r="DY101" s="230"/>
      <c r="DZ101" s="230"/>
      <c r="EA101" s="230"/>
      <c r="EB101" s="230"/>
      <c r="EC101" s="230"/>
      <c r="ED101" s="230"/>
      <c r="EE101" s="230"/>
      <c r="EF101" s="230"/>
      <c r="EG101" s="230"/>
      <c r="EH101" s="230"/>
      <c r="EI101" s="230"/>
      <c r="EJ101" s="230"/>
      <c r="EK101" s="230"/>
      <c r="EL101" s="230"/>
      <c r="EM101" s="230"/>
      <c r="EN101" s="230"/>
      <c r="EO101" s="230"/>
      <c r="EP101" s="230"/>
      <c r="EQ101" s="230"/>
      <c r="ER101" s="230"/>
      <c r="ES101" s="230"/>
      <c r="ET101" s="230"/>
      <c r="EU101" s="230"/>
      <c r="EV101" s="230"/>
      <c r="EW101" s="230"/>
      <c r="EX101" s="230"/>
      <c r="EY101" s="230"/>
      <c r="EZ101" s="230"/>
      <c r="FA101" s="230"/>
      <c r="FB101" s="230"/>
      <c r="FC101" s="230"/>
      <c r="FD101" s="230"/>
      <c r="FE101" s="230"/>
      <c r="FF101" s="230"/>
      <c r="FG101" s="230"/>
      <c r="FH101" s="230"/>
      <c r="FI101" s="230"/>
      <c r="FJ101" s="230"/>
      <c r="FK101" s="230"/>
      <c r="FL101" s="230"/>
      <c r="FM101" s="230"/>
      <c r="FN101" s="230"/>
      <c r="FO101" s="230"/>
      <c r="FP101" s="230"/>
      <c r="FQ101" s="230"/>
      <c r="FR101" s="230"/>
      <c r="FS101" s="230"/>
      <c r="FT101" s="230"/>
      <c r="FU101" s="230"/>
      <c r="FV101" s="230"/>
      <c r="FW101" s="230"/>
      <c r="FX101" s="230"/>
      <c r="FY101" s="230"/>
      <c r="FZ101" s="230"/>
      <c r="GA101" s="230"/>
      <c r="GB101" s="230"/>
      <c r="GC101" s="230"/>
      <c r="GD101" s="230"/>
      <c r="GE101" s="230"/>
      <c r="GF101" s="230"/>
      <c r="GG101" s="230"/>
      <c r="GH101" s="230"/>
      <c r="GI101" s="230"/>
      <c r="GJ101" s="230"/>
      <c r="GK101" s="230"/>
      <c r="GL101" s="230"/>
      <c r="GM101" s="230"/>
      <c r="GN101" s="230"/>
      <c r="GO101" s="230"/>
      <c r="GP101" s="230"/>
      <c r="GQ101" s="230"/>
      <c r="GR101" s="230"/>
      <c r="GS101" s="230"/>
      <c r="GT101" s="230"/>
      <c r="GU101" s="230"/>
      <c r="GV101" s="230"/>
      <c r="GW101" s="230"/>
      <c r="GX101" s="230"/>
      <c r="GY101" s="230"/>
      <c r="GZ101" s="230"/>
      <c r="HA101" s="230"/>
      <c r="HB101" s="230"/>
      <c r="HC101" s="230"/>
      <c r="HD101" s="230"/>
      <c r="HE101" s="230"/>
      <c r="HF101" s="230"/>
      <c r="HG101" s="230"/>
      <c r="HH101" s="230"/>
      <c r="HI101" s="230"/>
      <c r="HJ101" s="230"/>
      <c r="HK101" s="230"/>
      <c r="HL101" s="230"/>
      <c r="HM101" s="230"/>
      <c r="HN101" s="230"/>
      <c r="HO101" s="230"/>
      <c r="HP101" s="230"/>
      <c r="HQ101" s="230"/>
      <c r="HR101" s="230"/>
      <c r="HS101" s="230"/>
      <c r="HT101" s="230"/>
      <c r="HU101" s="230"/>
      <c r="HV101" s="230"/>
      <c r="HW101" s="230"/>
      <c r="HX101" s="230"/>
      <c r="HY101" s="230"/>
      <c r="HZ101" s="230"/>
      <c r="IA101" s="230"/>
      <c r="IB101" s="230"/>
      <c r="IC101" s="230"/>
      <c r="ID101" s="230"/>
      <c r="IE101" s="230"/>
      <c r="IF101" s="230"/>
      <c r="IG101" s="230"/>
      <c r="IH101" s="230"/>
      <c r="II101" s="230"/>
      <c r="IJ101" s="230"/>
      <c r="IK101" s="230"/>
      <c r="IL101" s="230"/>
      <c r="IM101" s="230"/>
      <c r="IN101" s="230"/>
      <c r="IO101" s="230"/>
      <c r="IP101" s="230"/>
      <c r="IQ101" s="230"/>
    </row>
    <row r="102" spans="1:251" s="73" customFormat="1">
      <c r="A102" s="432" t="s">
        <v>1127</v>
      </c>
      <c r="B102" s="421">
        <f>799.8*1.5</f>
        <v>1199.6999999999998</v>
      </c>
      <c r="C102" s="193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30"/>
      <c r="AU102" s="230"/>
      <c r="AV102" s="230"/>
      <c r="AW102" s="230"/>
      <c r="AX102" s="230"/>
      <c r="AY102" s="230"/>
      <c r="AZ102" s="230"/>
      <c r="BA102" s="230"/>
      <c r="BB102" s="230"/>
      <c r="BC102" s="230"/>
      <c r="BD102" s="230"/>
      <c r="BE102" s="230"/>
      <c r="BF102" s="230"/>
      <c r="BG102" s="230"/>
      <c r="BH102" s="230"/>
      <c r="BI102" s="230"/>
      <c r="BJ102" s="230"/>
      <c r="BK102" s="230"/>
      <c r="BL102" s="230"/>
      <c r="BM102" s="230"/>
      <c r="BN102" s="230"/>
      <c r="BO102" s="230"/>
      <c r="BP102" s="230"/>
      <c r="BQ102" s="230"/>
      <c r="BR102" s="230"/>
      <c r="BS102" s="230"/>
      <c r="BT102" s="230"/>
      <c r="BU102" s="230"/>
      <c r="BV102" s="230"/>
      <c r="BW102" s="230"/>
      <c r="BX102" s="230"/>
      <c r="BY102" s="230"/>
      <c r="BZ102" s="230"/>
      <c r="CA102" s="230"/>
      <c r="CB102" s="230"/>
      <c r="CC102" s="230"/>
      <c r="CD102" s="230"/>
      <c r="CE102" s="230"/>
      <c r="CF102" s="230"/>
      <c r="CG102" s="230"/>
      <c r="CH102" s="230"/>
      <c r="CI102" s="230"/>
      <c r="CJ102" s="230"/>
      <c r="CK102" s="230"/>
      <c r="CL102" s="230"/>
      <c r="CM102" s="230"/>
      <c r="CN102" s="230"/>
      <c r="CO102" s="230"/>
      <c r="CP102" s="230"/>
      <c r="CQ102" s="230"/>
      <c r="CR102" s="230"/>
      <c r="CS102" s="230"/>
      <c r="CT102" s="230"/>
      <c r="CU102" s="230"/>
      <c r="CV102" s="230"/>
      <c r="CW102" s="230"/>
      <c r="CX102" s="230"/>
      <c r="CY102" s="230"/>
      <c r="CZ102" s="230"/>
      <c r="DA102" s="230"/>
      <c r="DB102" s="230"/>
      <c r="DC102" s="230"/>
      <c r="DD102" s="230"/>
      <c r="DE102" s="230"/>
      <c r="DF102" s="230"/>
      <c r="DG102" s="230"/>
      <c r="DH102" s="230"/>
      <c r="DI102" s="230"/>
      <c r="DJ102" s="230"/>
      <c r="DK102" s="230"/>
      <c r="DL102" s="230"/>
      <c r="DM102" s="230"/>
      <c r="DN102" s="230"/>
      <c r="DO102" s="230"/>
      <c r="DP102" s="230"/>
      <c r="DQ102" s="230"/>
      <c r="DR102" s="230"/>
      <c r="DS102" s="230"/>
      <c r="DT102" s="230"/>
      <c r="DU102" s="230"/>
      <c r="DV102" s="230"/>
      <c r="DW102" s="230"/>
      <c r="DX102" s="230"/>
      <c r="DY102" s="230"/>
      <c r="DZ102" s="230"/>
      <c r="EA102" s="230"/>
      <c r="EB102" s="230"/>
      <c r="EC102" s="230"/>
      <c r="ED102" s="230"/>
      <c r="EE102" s="230"/>
      <c r="EF102" s="230"/>
      <c r="EG102" s="230"/>
      <c r="EH102" s="230"/>
      <c r="EI102" s="230"/>
      <c r="EJ102" s="230"/>
      <c r="EK102" s="230"/>
      <c r="EL102" s="230"/>
      <c r="EM102" s="230"/>
      <c r="EN102" s="230"/>
      <c r="EO102" s="230"/>
      <c r="EP102" s="230"/>
      <c r="EQ102" s="230"/>
      <c r="ER102" s="230"/>
      <c r="ES102" s="230"/>
      <c r="ET102" s="230"/>
      <c r="EU102" s="230"/>
      <c r="EV102" s="230"/>
      <c r="EW102" s="230"/>
      <c r="EX102" s="230"/>
      <c r="EY102" s="230"/>
      <c r="EZ102" s="230"/>
      <c r="FA102" s="230"/>
      <c r="FB102" s="230"/>
      <c r="FC102" s="230"/>
      <c r="FD102" s="230"/>
      <c r="FE102" s="230"/>
      <c r="FF102" s="230"/>
      <c r="FG102" s="230"/>
      <c r="FH102" s="230"/>
      <c r="FI102" s="230"/>
      <c r="FJ102" s="230"/>
      <c r="FK102" s="230"/>
      <c r="FL102" s="230"/>
      <c r="FM102" s="230"/>
      <c r="FN102" s="230"/>
      <c r="FO102" s="230"/>
      <c r="FP102" s="230"/>
      <c r="FQ102" s="230"/>
      <c r="FR102" s="230"/>
      <c r="FS102" s="230"/>
      <c r="FT102" s="230"/>
      <c r="FU102" s="230"/>
      <c r="FV102" s="230"/>
      <c r="FW102" s="230"/>
      <c r="FX102" s="230"/>
      <c r="FY102" s="230"/>
      <c r="FZ102" s="230"/>
      <c r="GA102" s="230"/>
      <c r="GB102" s="230"/>
      <c r="GC102" s="230"/>
      <c r="GD102" s="230"/>
      <c r="GE102" s="230"/>
      <c r="GF102" s="230"/>
      <c r="GG102" s="230"/>
      <c r="GH102" s="230"/>
      <c r="GI102" s="230"/>
      <c r="GJ102" s="230"/>
      <c r="GK102" s="230"/>
      <c r="GL102" s="230"/>
      <c r="GM102" s="230"/>
      <c r="GN102" s="230"/>
      <c r="GO102" s="230"/>
      <c r="GP102" s="230"/>
      <c r="GQ102" s="230"/>
      <c r="GR102" s="230"/>
      <c r="GS102" s="230"/>
      <c r="GT102" s="230"/>
      <c r="GU102" s="230"/>
      <c r="GV102" s="230"/>
      <c r="GW102" s="230"/>
      <c r="GX102" s="230"/>
      <c r="GY102" s="230"/>
      <c r="GZ102" s="230"/>
      <c r="HA102" s="230"/>
      <c r="HB102" s="230"/>
      <c r="HC102" s="230"/>
      <c r="HD102" s="230"/>
      <c r="HE102" s="230"/>
      <c r="HF102" s="230"/>
      <c r="HG102" s="230"/>
      <c r="HH102" s="230"/>
      <c r="HI102" s="230"/>
      <c r="HJ102" s="230"/>
      <c r="HK102" s="230"/>
      <c r="HL102" s="230"/>
      <c r="HM102" s="230"/>
      <c r="HN102" s="230"/>
      <c r="HO102" s="230"/>
      <c r="HP102" s="230"/>
      <c r="HQ102" s="230"/>
      <c r="HR102" s="230"/>
      <c r="HS102" s="230"/>
      <c r="HT102" s="230"/>
      <c r="HU102" s="230"/>
      <c r="HV102" s="230"/>
      <c r="HW102" s="230"/>
      <c r="HX102" s="230"/>
      <c r="HY102" s="230"/>
      <c r="HZ102" s="230"/>
      <c r="IA102" s="230"/>
      <c r="IB102" s="230"/>
      <c r="IC102" s="230"/>
      <c r="ID102" s="230"/>
      <c r="IE102" s="230"/>
      <c r="IF102" s="230"/>
      <c r="IG102" s="230"/>
      <c r="IH102" s="230"/>
      <c r="II102" s="230"/>
      <c r="IJ102" s="230"/>
      <c r="IK102" s="230"/>
      <c r="IL102" s="230"/>
      <c r="IM102" s="230"/>
      <c r="IN102" s="230"/>
      <c r="IO102" s="230"/>
      <c r="IP102" s="230"/>
      <c r="IQ102" s="230"/>
    </row>
    <row r="103" spans="1:251" s="73" customFormat="1">
      <c r="A103" s="432" t="s">
        <v>1128</v>
      </c>
      <c r="B103" s="421">
        <v>0</v>
      </c>
      <c r="C103" s="193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  <c r="AU103" s="230"/>
      <c r="AV103" s="230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30"/>
      <c r="BG103" s="230"/>
      <c r="BH103" s="230"/>
      <c r="BI103" s="230"/>
      <c r="BJ103" s="230"/>
      <c r="BK103" s="230"/>
      <c r="BL103" s="230"/>
      <c r="BM103" s="230"/>
      <c r="BN103" s="230"/>
      <c r="BO103" s="230"/>
      <c r="BP103" s="230"/>
      <c r="BQ103" s="230"/>
      <c r="BR103" s="230"/>
      <c r="BS103" s="230"/>
      <c r="BT103" s="230"/>
      <c r="BU103" s="230"/>
      <c r="BV103" s="230"/>
      <c r="BW103" s="230"/>
      <c r="BX103" s="230"/>
      <c r="BY103" s="230"/>
      <c r="BZ103" s="230"/>
      <c r="CA103" s="230"/>
      <c r="CB103" s="230"/>
      <c r="CC103" s="230"/>
      <c r="CD103" s="230"/>
      <c r="CE103" s="230"/>
      <c r="CF103" s="230"/>
      <c r="CG103" s="230"/>
      <c r="CH103" s="230"/>
      <c r="CI103" s="230"/>
      <c r="CJ103" s="230"/>
      <c r="CK103" s="230"/>
      <c r="CL103" s="230"/>
      <c r="CM103" s="230"/>
      <c r="CN103" s="230"/>
      <c r="CO103" s="230"/>
      <c r="CP103" s="230"/>
      <c r="CQ103" s="230"/>
      <c r="CR103" s="230"/>
      <c r="CS103" s="230"/>
      <c r="CT103" s="230"/>
      <c r="CU103" s="230"/>
      <c r="CV103" s="230"/>
      <c r="CW103" s="230"/>
      <c r="CX103" s="230"/>
      <c r="CY103" s="230"/>
      <c r="CZ103" s="230"/>
      <c r="DA103" s="230"/>
      <c r="DB103" s="230"/>
      <c r="DC103" s="230"/>
      <c r="DD103" s="230"/>
      <c r="DE103" s="230"/>
      <c r="DF103" s="230"/>
      <c r="DG103" s="230"/>
      <c r="DH103" s="230"/>
      <c r="DI103" s="230"/>
      <c r="DJ103" s="230"/>
      <c r="DK103" s="230"/>
      <c r="DL103" s="230"/>
      <c r="DM103" s="230"/>
      <c r="DN103" s="230"/>
      <c r="DO103" s="230"/>
      <c r="DP103" s="230"/>
      <c r="DQ103" s="230"/>
      <c r="DR103" s="230"/>
      <c r="DS103" s="230"/>
      <c r="DT103" s="230"/>
      <c r="DU103" s="230"/>
      <c r="DV103" s="230"/>
      <c r="DW103" s="230"/>
      <c r="DX103" s="230"/>
      <c r="DY103" s="230"/>
      <c r="DZ103" s="230"/>
      <c r="EA103" s="230"/>
      <c r="EB103" s="230"/>
      <c r="EC103" s="230"/>
      <c r="ED103" s="230"/>
      <c r="EE103" s="230"/>
      <c r="EF103" s="230"/>
      <c r="EG103" s="230"/>
      <c r="EH103" s="230"/>
      <c r="EI103" s="230"/>
      <c r="EJ103" s="230"/>
      <c r="EK103" s="230"/>
      <c r="EL103" s="230"/>
      <c r="EM103" s="230"/>
      <c r="EN103" s="230"/>
      <c r="EO103" s="230"/>
      <c r="EP103" s="230"/>
      <c r="EQ103" s="230"/>
      <c r="ER103" s="230"/>
      <c r="ES103" s="230"/>
      <c r="ET103" s="230"/>
      <c r="EU103" s="230"/>
      <c r="EV103" s="230"/>
      <c r="EW103" s="230"/>
      <c r="EX103" s="230"/>
      <c r="EY103" s="230"/>
      <c r="EZ103" s="230"/>
      <c r="FA103" s="230"/>
      <c r="FB103" s="230"/>
      <c r="FC103" s="230"/>
      <c r="FD103" s="230"/>
      <c r="FE103" s="230"/>
      <c r="FF103" s="230"/>
      <c r="FG103" s="230"/>
      <c r="FH103" s="230"/>
      <c r="FI103" s="230"/>
      <c r="FJ103" s="230"/>
      <c r="FK103" s="230"/>
      <c r="FL103" s="230"/>
      <c r="FM103" s="230"/>
      <c r="FN103" s="230"/>
      <c r="FO103" s="230"/>
      <c r="FP103" s="230"/>
      <c r="FQ103" s="230"/>
      <c r="FR103" s="230"/>
      <c r="FS103" s="230"/>
      <c r="FT103" s="230"/>
      <c r="FU103" s="230"/>
      <c r="FV103" s="230"/>
      <c r="FW103" s="230"/>
      <c r="FX103" s="230"/>
      <c r="FY103" s="230"/>
      <c r="FZ103" s="230"/>
      <c r="GA103" s="230"/>
      <c r="GB103" s="230"/>
      <c r="GC103" s="230"/>
      <c r="GD103" s="230"/>
      <c r="GE103" s="230"/>
      <c r="GF103" s="230"/>
      <c r="GG103" s="230"/>
      <c r="GH103" s="230"/>
      <c r="GI103" s="230"/>
      <c r="GJ103" s="230"/>
      <c r="GK103" s="230"/>
      <c r="GL103" s="230"/>
      <c r="GM103" s="230"/>
      <c r="GN103" s="230"/>
      <c r="GO103" s="230"/>
      <c r="GP103" s="230"/>
      <c r="GQ103" s="230"/>
      <c r="GR103" s="230"/>
      <c r="GS103" s="230"/>
      <c r="GT103" s="230"/>
      <c r="GU103" s="230"/>
      <c r="GV103" s="230"/>
      <c r="GW103" s="230"/>
      <c r="GX103" s="230"/>
      <c r="GY103" s="230"/>
      <c r="GZ103" s="230"/>
      <c r="HA103" s="230"/>
      <c r="HB103" s="230"/>
      <c r="HC103" s="230"/>
      <c r="HD103" s="230"/>
      <c r="HE103" s="230"/>
      <c r="HF103" s="230"/>
      <c r="HG103" s="230"/>
      <c r="HH103" s="230"/>
      <c r="HI103" s="230"/>
      <c r="HJ103" s="230"/>
      <c r="HK103" s="230"/>
      <c r="HL103" s="230"/>
      <c r="HM103" s="230"/>
      <c r="HN103" s="230"/>
      <c r="HO103" s="230"/>
      <c r="HP103" s="230"/>
      <c r="HQ103" s="230"/>
      <c r="HR103" s="230"/>
      <c r="HS103" s="230"/>
      <c r="HT103" s="230"/>
      <c r="HU103" s="230"/>
      <c r="HV103" s="230"/>
      <c r="HW103" s="230"/>
      <c r="HX103" s="230"/>
      <c r="HY103" s="230"/>
      <c r="HZ103" s="230"/>
      <c r="IA103" s="230"/>
      <c r="IB103" s="230"/>
      <c r="IC103" s="230"/>
      <c r="ID103" s="230"/>
      <c r="IE103" s="230"/>
      <c r="IF103" s="230"/>
      <c r="IG103" s="230"/>
      <c r="IH103" s="230"/>
      <c r="II103" s="230"/>
      <c r="IJ103" s="230"/>
      <c r="IK103" s="230"/>
      <c r="IL103" s="230"/>
      <c r="IM103" s="230"/>
      <c r="IN103" s="230"/>
      <c r="IO103" s="230"/>
      <c r="IP103" s="230"/>
      <c r="IQ103" s="230"/>
    </row>
    <row r="104" spans="1:251" s="75" customFormat="1">
      <c r="A104" s="432" t="s">
        <v>724</v>
      </c>
      <c r="B104" s="421">
        <f>7673.36*1.5</f>
        <v>11510.039999999999</v>
      </c>
      <c r="C104" s="193">
        <f>ROUND(B104/B82/12,2)</f>
        <v>1.35</v>
      </c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7"/>
      <c r="DT104" s="197"/>
      <c r="DU104" s="197"/>
      <c r="DV104" s="197"/>
      <c r="DW104" s="197"/>
      <c r="DX104" s="197"/>
      <c r="DY104" s="197"/>
      <c r="DZ104" s="197"/>
      <c r="EA104" s="197"/>
      <c r="EB104" s="197"/>
      <c r="EC104" s="197"/>
      <c r="ED104" s="197"/>
      <c r="EE104" s="197"/>
      <c r="EF104" s="197"/>
      <c r="EG104" s="197"/>
      <c r="EH104" s="197"/>
      <c r="EI104" s="197"/>
      <c r="EJ104" s="197"/>
      <c r="EK104" s="197"/>
      <c r="EL104" s="197"/>
      <c r="EM104" s="197"/>
      <c r="EN104" s="197"/>
      <c r="EO104" s="197"/>
      <c r="EP104" s="197"/>
      <c r="EQ104" s="197"/>
      <c r="ER104" s="197"/>
      <c r="ES104" s="197"/>
      <c r="ET104" s="197"/>
      <c r="EU104" s="197"/>
      <c r="EV104" s="197"/>
      <c r="EW104" s="197"/>
      <c r="EX104" s="197"/>
      <c r="EY104" s="197"/>
      <c r="EZ104" s="197"/>
      <c r="FA104" s="197"/>
      <c r="FB104" s="197"/>
      <c r="FC104" s="197"/>
      <c r="FD104" s="197"/>
      <c r="FE104" s="197"/>
      <c r="FF104" s="197"/>
      <c r="FG104" s="197"/>
      <c r="FH104" s="197"/>
      <c r="FI104" s="197"/>
      <c r="FJ104" s="197"/>
      <c r="FK104" s="197"/>
      <c r="FL104" s="197"/>
      <c r="FM104" s="197"/>
      <c r="FN104" s="197"/>
      <c r="FO104" s="197"/>
      <c r="FP104" s="197"/>
      <c r="FQ104" s="197"/>
      <c r="FR104" s="197"/>
      <c r="FS104" s="197"/>
      <c r="FT104" s="197"/>
      <c r="FU104" s="197"/>
      <c r="FV104" s="197"/>
      <c r="FW104" s="197"/>
      <c r="FX104" s="197"/>
      <c r="FY104" s="197"/>
      <c r="FZ104" s="197"/>
      <c r="GA104" s="197"/>
      <c r="GB104" s="197"/>
      <c r="GC104" s="197"/>
      <c r="GD104" s="197"/>
      <c r="GE104" s="197"/>
      <c r="GF104" s="197"/>
      <c r="GG104" s="197"/>
      <c r="GH104" s="197"/>
      <c r="GI104" s="197"/>
      <c r="GJ104" s="197"/>
      <c r="GK104" s="197"/>
      <c r="GL104" s="197"/>
      <c r="GM104" s="197"/>
      <c r="GN104" s="197"/>
      <c r="GO104" s="197"/>
      <c r="GP104" s="197"/>
      <c r="GQ104" s="197"/>
      <c r="GR104" s="197"/>
      <c r="GS104" s="197"/>
      <c r="GT104" s="197"/>
      <c r="GU104" s="197"/>
      <c r="GV104" s="197"/>
      <c r="GW104" s="197"/>
      <c r="GX104" s="197"/>
      <c r="GY104" s="197"/>
      <c r="GZ104" s="197"/>
      <c r="HA104" s="197"/>
      <c r="HB104" s="197"/>
      <c r="HC104" s="197"/>
      <c r="HD104" s="197"/>
      <c r="HE104" s="197"/>
      <c r="HF104" s="197"/>
      <c r="HG104" s="197"/>
      <c r="HH104" s="197"/>
      <c r="HI104" s="197"/>
      <c r="HJ104" s="197"/>
      <c r="HK104" s="197"/>
      <c r="HL104" s="197"/>
      <c r="HM104" s="197"/>
      <c r="HN104" s="197"/>
      <c r="HO104" s="197"/>
      <c r="HP104" s="197"/>
      <c r="HQ104" s="197"/>
      <c r="HR104" s="197"/>
      <c r="HS104" s="197"/>
      <c r="HT104" s="197"/>
      <c r="HU104" s="197"/>
      <c r="HV104" s="197"/>
      <c r="HW104" s="197"/>
      <c r="HX104" s="197"/>
      <c r="HY104" s="197"/>
      <c r="HZ104" s="197"/>
      <c r="IA104" s="197"/>
      <c r="IB104" s="197"/>
      <c r="IC104" s="197"/>
      <c r="ID104" s="197"/>
      <c r="IE104" s="197"/>
      <c r="IF104" s="197"/>
      <c r="IG104" s="197"/>
      <c r="IH104" s="197"/>
      <c r="II104" s="197"/>
      <c r="IJ104" s="197"/>
      <c r="IK104" s="197"/>
      <c r="IL104" s="197"/>
      <c r="IM104" s="197"/>
      <c r="IN104" s="197"/>
      <c r="IO104" s="197"/>
      <c r="IP104" s="197"/>
      <c r="IQ104" s="197"/>
    </row>
    <row r="105" spans="1:251" s="75" customFormat="1">
      <c r="A105" s="432" t="s">
        <v>1581</v>
      </c>
      <c r="B105" s="421">
        <f>B89-B91</f>
        <v>7560.8371818330779</v>
      </c>
      <c r="C105" s="213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  <c r="EN105" s="197"/>
      <c r="EO105" s="197"/>
      <c r="EP105" s="197"/>
      <c r="EQ105" s="197"/>
      <c r="ER105" s="197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7"/>
      <c r="FG105" s="197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  <c r="FV105" s="197"/>
      <c r="FW105" s="197"/>
      <c r="FX105" s="197"/>
      <c r="FY105" s="197"/>
      <c r="FZ105" s="197"/>
      <c r="GA105" s="197"/>
      <c r="GB105" s="197"/>
      <c r="GC105" s="197"/>
      <c r="GD105" s="197"/>
      <c r="GE105" s="197"/>
      <c r="GF105" s="197"/>
      <c r="GG105" s="197"/>
      <c r="GH105" s="197"/>
      <c r="GI105" s="197"/>
      <c r="GJ105" s="197"/>
      <c r="GK105" s="197"/>
      <c r="GL105" s="197"/>
      <c r="GM105" s="197"/>
      <c r="GN105" s="197"/>
      <c r="GO105" s="197"/>
      <c r="GP105" s="197"/>
      <c r="GQ105" s="197"/>
      <c r="GR105" s="197"/>
      <c r="GS105" s="197"/>
      <c r="GT105" s="197"/>
      <c r="GU105" s="197"/>
      <c r="GV105" s="197"/>
      <c r="GW105" s="197"/>
      <c r="GX105" s="197"/>
      <c r="GY105" s="197"/>
      <c r="GZ105" s="197"/>
      <c r="HA105" s="197"/>
      <c r="HB105" s="197"/>
      <c r="HC105" s="197"/>
      <c r="HD105" s="197"/>
      <c r="HE105" s="197"/>
      <c r="HF105" s="197"/>
      <c r="HG105" s="197"/>
      <c r="HH105" s="197"/>
      <c r="HI105" s="197"/>
      <c r="HJ105" s="197"/>
      <c r="HK105" s="197"/>
      <c r="HL105" s="197"/>
      <c r="HM105" s="197"/>
      <c r="HN105" s="197"/>
      <c r="HO105" s="197"/>
      <c r="HP105" s="197"/>
      <c r="HQ105" s="197"/>
      <c r="HR105" s="197"/>
      <c r="HS105" s="197"/>
      <c r="HT105" s="197"/>
      <c r="HU105" s="197"/>
      <c r="HV105" s="197"/>
      <c r="HW105" s="197"/>
      <c r="HX105" s="197"/>
      <c r="HY105" s="197"/>
      <c r="HZ105" s="197"/>
      <c r="IA105" s="197"/>
      <c r="IB105" s="197"/>
      <c r="IC105" s="197"/>
      <c r="ID105" s="197"/>
      <c r="IE105" s="197"/>
      <c r="IF105" s="197"/>
      <c r="IG105" s="197"/>
      <c r="IH105" s="197"/>
      <c r="II105" s="197"/>
      <c r="IJ105" s="197"/>
      <c r="IK105" s="197"/>
      <c r="IL105" s="197"/>
      <c r="IM105" s="197"/>
      <c r="IN105" s="197"/>
      <c r="IO105" s="197"/>
      <c r="IP105" s="197"/>
      <c r="IQ105" s="197"/>
    </row>
    <row r="106" spans="1:251" s="75" customFormat="1">
      <c r="A106" s="230"/>
      <c r="B106" s="230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7"/>
      <c r="EM106" s="197"/>
      <c r="EN106" s="197"/>
      <c r="EO106" s="197"/>
      <c r="EP106" s="197"/>
      <c r="EQ106" s="197"/>
      <c r="ER106" s="197"/>
      <c r="ES106" s="197"/>
      <c r="ET106" s="197"/>
      <c r="EU106" s="197"/>
      <c r="EV106" s="197"/>
      <c r="EW106" s="197"/>
      <c r="EX106" s="197"/>
      <c r="EY106" s="197"/>
      <c r="EZ106" s="197"/>
      <c r="FA106" s="197"/>
      <c r="FB106" s="197"/>
      <c r="FC106" s="197"/>
      <c r="FD106" s="197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97"/>
      <c r="FT106" s="197"/>
      <c r="FU106" s="197"/>
      <c r="FV106" s="197"/>
      <c r="FW106" s="197"/>
      <c r="FX106" s="197"/>
      <c r="FY106" s="197"/>
      <c r="FZ106" s="197"/>
      <c r="GA106" s="197"/>
      <c r="GB106" s="197"/>
      <c r="GC106" s="197"/>
      <c r="GD106" s="197"/>
      <c r="GE106" s="197"/>
      <c r="GF106" s="197"/>
      <c r="GG106" s="197"/>
      <c r="GH106" s="197"/>
      <c r="GI106" s="197"/>
      <c r="GJ106" s="197"/>
      <c r="GK106" s="197"/>
      <c r="GL106" s="197"/>
      <c r="GM106" s="197"/>
      <c r="GN106" s="197"/>
      <c r="GO106" s="197"/>
      <c r="GP106" s="197"/>
      <c r="GQ106" s="197"/>
      <c r="GR106" s="197"/>
      <c r="GS106" s="197"/>
      <c r="GT106" s="197"/>
      <c r="GU106" s="197"/>
      <c r="GV106" s="197"/>
      <c r="GW106" s="197"/>
      <c r="GX106" s="197"/>
      <c r="GY106" s="197"/>
      <c r="GZ106" s="197"/>
      <c r="HA106" s="197"/>
      <c r="HB106" s="197"/>
      <c r="HC106" s="197"/>
      <c r="HD106" s="197"/>
      <c r="HE106" s="197"/>
      <c r="HF106" s="197"/>
      <c r="HG106" s="197"/>
      <c r="HH106" s="197"/>
      <c r="HI106" s="197"/>
      <c r="HJ106" s="197"/>
      <c r="HK106" s="197"/>
      <c r="HL106" s="197"/>
      <c r="HM106" s="197"/>
      <c r="HN106" s="197"/>
      <c r="HO106" s="197"/>
      <c r="HP106" s="197"/>
      <c r="HQ106" s="197"/>
      <c r="HR106" s="197"/>
      <c r="HS106" s="197"/>
      <c r="HT106" s="197"/>
      <c r="HU106" s="197"/>
      <c r="HV106" s="197"/>
      <c r="HW106" s="197"/>
      <c r="HX106" s="197"/>
      <c r="HY106" s="197"/>
      <c r="HZ106" s="197"/>
      <c r="IA106" s="197"/>
      <c r="IB106" s="197"/>
      <c r="IC106" s="197"/>
      <c r="ID106" s="197"/>
      <c r="IE106" s="197"/>
      <c r="IF106" s="197"/>
      <c r="IG106" s="197"/>
      <c r="IH106" s="197"/>
      <c r="II106" s="197"/>
      <c r="IJ106" s="197"/>
      <c r="IK106" s="197"/>
      <c r="IL106" s="197"/>
      <c r="IM106" s="197"/>
      <c r="IN106" s="197"/>
      <c r="IO106" s="197"/>
      <c r="IP106" s="197"/>
      <c r="IQ106" s="197"/>
    </row>
    <row r="107" spans="1:251" s="75" customFormat="1">
      <c r="A107" s="458" t="s">
        <v>605</v>
      </c>
      <c r="B107" s="230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  <c r="FF107" s="197"/>
      <c r="FG107" s="197"/>
      <c r="FH107" s="197"/>
      <c r="FI107" s="197"/>
      <c r="FJ107" s="197"/>
      <c r="FK107" s="197"/>
      <c r="FL107" s="197"/>
      <c r="FM107" s="197"/>
      <c r="FN107" s="197"/>
      <c r="FO107" s="197"/>
      <c r="FP107" s="197"/>
      <c r="FQ107" s="197"/>
      <c r="FR107" s="197"/>
      <c r="FS107" s="197"/>
      <c r="FT107" s="197"/>
      <c r="FU107" s="197"/>
      <c r="FV107" s="197"/>
      <c r="FW107" s="197"/>
      <c r="FX107" s="197"/>
      <c r="FY107" s="197"/>
      <c r="FZ107" s="197"/>
      <c r="GA107" s="197"/>
      <c r="GB107" s="197"/>
      <c r="GC107" s="197"/>
      <c r="GD107" s="197"/>
      <c r="GE107" s="197"/>
      <c r="GF107" s="197"/>
      <c r="GG107" s="197"/>
      <c r="GH107" s="197"/>
      <c r="GI107" s="197"/>
      <c r="GJ107" s="197"/>
      <c r="GK107" s="197"/>
      <c r="GL107" s="197"/>
      <c r="GM107" s="197"/>
      <c r="GN107" s="197"/>
      <c r="GO107" s="197"/>
      <c r="GP107" s="197"/>
      <c r="GQ107" s="197"/>
      <c r="GR107" s="197"/>
      <c r="GS107" s="197"/>
      <c r="GT107" s="197"/>
      <c r="GU107" s="197"/>
      <c r="GV107" s="197"/>
      <c r="GW107" s="197"/>
      <c r="GX107" s="197"/>
      <c r="GY107" s="197"/>
      <c r="GZ107" s="197"/>
      <c r="HA107" s="197"/>
      <c r="HB107" s="197"/>
      <c r="HC107" s="197"/>
      <c r="HD107" s="197"/>
      <c r="HE107" s="197"/>
      <c r="HF107" s="197"/>
      <c r="HG107" s="197"/>
      <c r="HH107" s="197"/>
      <c r="HI107" s="197"/>
      <c r="HJ107" s="197"/>
      <c r="HK107" s="197"/>
      <c r="HL107" s="197"/>
      <c r="HM107" s="197"/>
      <c r="HN107" s="197"/>
      <c r="HO107" s="197"/>
      <c r="HP107" s="197"/>
      <c r="HQ107" s="197"/>
      <c r="HR107" s="197"/>
      <c r="HS107" s="197"/>
      <c r="HT107" s="197"/>
      <c r="HU107" s="197"/>
      <c r="HV107" s="197"/>
      <c r="HW107" s="197"/>
      <c r="HX107" s="197"/>
      <c r="HY107" s="197"/>
      <c r="HZ107" s="197"/>
      <c r="IA107" s="197"/>
      <c r="IB107" s="197"/>
      <c r="IC107" s="197"/>
      <c r="ID107" s="197"/>
      <c r="IE107" s="197"/>
      <c r="IF107" s="197"/>
      <c r="IG107" s="197"/>
      <c r="IH107" s="197"/>
      <c r="II107" s="197"/>
      <c r="IJ107" s="197"/>
      <c r="IK107" s="197"/>
      <c r="IL107" s="197"/>
      <c r="IM107" s="197"/>
      <c r="IN107" s="197"/>
      <c r="IO107" s="197"/>
      <c r="IP107" s="197"/>
      <c r="IQ107" s="197"/>
    </row>
    <row r="108" spans="1:251">
      <c r="B108">
        <f>5.94*B82*12</f>
        <v>50651.568000000014</v>
      </c>
    </row>
    <row r="109" spans="1:251">
      <c r="B109" s="276">
        <f>B108+B91</f>
        <v>188265.60081816692</v>
      </c>
    </row>
    <row r="110" spans="1:251">
      <c r="B110">
        <f>B109/B91</f>
        <v>1.3680697888341611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42"/>
  <sheetViews>
    <sheetView topLeftCell="A107" workbookViewId="0">
      <selection activeCell="A109" sqref="A109:C137"/>
    </sheetView>
  </sheetViews>
  <sheetFormatPr defaultRowHeight="15"/>
  <cols>
    <col min="1" max="1" width="74" customWidth="1"/>
    <col min="2" max="2" width="11.5703125" customWidth="1"/>
    <col min="3" max="3" width="0.140625" customWidth="1"/>
  </cols>
  <sheetData>
    <row r="1" spans="1:3" ht="15.75">
      <c r="A1" s="701" t="s">
        <v>1238</v>
      </c>
      <c r="B1" s="701"/>
    </row>
    <row r="2" spans="1:3" ht="39" customHeight="1">
      <c r="A2" s="704" t="s">
        <v>1569</v>
      </c>
      <c r="B2" s="704"/>
    </row>
    <row r="3" spans="1:3" s="55" customFormat="1" ht="15.75">
      <c r="A3" s="126"/>
      <c r="B3" s="74"/>
    </row>
    <row r="4" spans="1:3" ht="30">
      <c r="A4" s="344" t="s">
        <v>229</v>
      </c>
      <c r="B4" s="82" t="s">
        <v>523</v>
      </c>
    </row>
    <row r="5" spans="1:3">
      <c r="A5" s="353" t="s">
        <v>229</v>
      </c>
      <c r="B5" s="352"/>
    </row>
    <row r="6" spans="1:3" s="73" customFormat="1">
      <c r="A6" s="345" t="s">
        <v>0</v>
      </c>
      <c r="B6" s="100"/>
    </row>
    <row r="7" spans="1:3" s="73" customFormat="1" ht="28.5">
      <c r="A7" s="212" t="s">
        <v>1240</v>
      </c>
      <c r="B7" s="129"/>
    </row>
    <row r="8" spans="1:3" s="73" customFormat="1" ht="15" customHeight="1" thickBot="1">
      <c r="A8" s="348" t="s">
        <v>57</v>
      </c>
      <c r="B8" s="76"/>
      <c r="C8"/>
    </row>
    <row r="9" spans="1:3" s="73" customFormat="1" ht="32.25" customHeight="1" thickBot="1">
      <c r="A9" s="354" t="s">
        <v>1292</v>
      </c>
      <c r="B9" s="72">
        <v>2</v>
      </c>
    </row>
    <row r="10" spans="1:3" s="73" customFormat="1">
      <c r="A10" s="131" t="s">
        <v>1326</v>
      </c>
      <c r="B10" s="72">
        <v>2</v>
      </c>
    </row>
    <row r="11" spans="1:3" s="75" customFormat="1">
      <c r="A11" s="350" t="s">
        <v>66</v>
      </c>
      <c r="B11" s="76"/>
    </row>
    <row r="12" spans="1:3" s="75" customFormat="1" ht="28.5">
      <c r="A12" s="156" t="s">
        <v>1305</v>
      </c>
      <c r="B12" s="72">
        <v>3</v>
      </c>
    </row>
    <row r="13" spans="1:3" s="75" customFormat="1">
      <c r="A13" s="156" t="s">
        <v>1307</v>
      </c>
      <c r="B13" s="72">
        <v>2</v>
      </c>
    </row>
    <row r="14" spans="1:3" s="75" customFormat="1" ht="28.5">
      <c r="A14" s="156" t="s">
        <v>1310</v>
      </c>
      <c r="B14" s="72">
        <v>2</v>
      </c>
    </row>
    <row r="15" spans="1:3" s="75" customFormat="1" ht="28.5">
      <c r="A15" s="156" t="s">
        <v>1313</v>
      </c>
      <c r="B15" s="72">
        <v>4</v>
      </c>
    </row>
    <row r="16" spans="1:3" s="75" customFormat="1" ht="28.5">
      <c r="A16" s="156" t="s">
        <v>1314</v>
      </c>
      <c r="B16" s="72">
        <v>4</v>
      </c>
    </row>
    <row r="17" spans="1:2" s="75" customFormat="1" ht="42.75">
      <c r="A17" s="156" t="s">
        <v>1315</v>
      </c>
      <c r="B17" s="72">
        <v>4</v>
      </c>
    </row>
    <row r="18" spans="1:2" s="75" customFormat="1" ht="28.5">
      <c r="A18" s="156" t="s">
        <v>1324</v>
      </c>
      <c r="B18" s="72">
        <v>4</v>
      </c>
    </row>
    <row r="19" spans="1:2" s="75" customFormat="1" ht="42.75">
      <c r="A19" s="156" t="s">
        <v>1327</v>
      </c>
      <c r="B19" s="72">
        <v>4</v>
      </c>
    </row>
    <row r="20" spans="1:2" s="75" customFormat="1" ht="28.5">
      <c r="A20" s="156" t="s">
        <v>1329</v>
      </c>
      <c r="B20" s="72">
        <v>4</v>
      </c>
    </row>
    <row r="21" spans="1:2" s="75" customFormat="1" ht="28.5">
      <c r="A21" s="156" t="s">
        <v>1330</v>
      </c>
      <c r="B21" s="72">
        <v>4</v>
      </c>
    </row>
    <row r="22" spans="1:2">
      <c r="A22" s="347" t="s">
        <v>590</v>
      </c>
      <c r="B22" s="72"/>
    </row>
    <row r="23" spans="1:2" s="73" customFormat="1">
      <c r="A23" s="132" t="s">
        <v>1241</v>
      </c>
      <c r="B23" s="72">
        <v>4</v>
      </c>
    </row>
    <row r="24" spans="1:2" s="73" customFormat="1">
      <c r="A24" s="132" t="s">
        <v>1242</v>
      </c>
      <c r="B24" s="72">
        <v>6</v>
      </c>
    </row>
    <row r="25" spans="1:2" s="73" customFormat="1" ht="23.25" customHeight="1">
      <c r="A25" s="132" t="s">
        <v>1243</v>
      </c>
      <c r="B25" s="72">
        <v>4</v>
      </c>
    </row>
    <row r="26" spans="1:2" s="73" customFormat="1" ht="17.25" customHeight="1">
      <c r="A26" s="132" t="s">
        <v>1244</v>
      </c>
      <c r="B26" s="72">
        <v>4</v>
      </c>
    </row>
    <row r="27" spans="1:2" s="73" customFormat="1" ht="28.5">
      <c r="A27" s="132" t="s">
        <v>1245</v>
      </c>
      <c r="B27" s="72">
        <v>6</v>
      </c>
    </row>
    <row r="28" spans="1:2" s="73" customFormat="1" ht="28.5">
      <c r="A28" s="132" t="s">
        <v>1246</v>
      </c>
      <c r="B28" s="72">
        <v>4.5</v>
      </c>
    </row>
    <row r="29" spans="1:2" s="73" customFormat="1" ht="15.75" customHeight="1">
      <c r="A29" s="132" t="s">
        <v>1247</v>
      </c>
      <c r="B29" s="72">
        <v>4</v>
      </c>
    </row>
    <row r="30" spans="1:2" s="73" customFormat="1" ht="27.75" customHeight="1">
      <c r="A30" s="132" t="s">
        <v>1248</v>
      </c>
      <c r="B30" s="72">
        <v>6</v>
      </c>
    </row>
    <row r="31" spans="1:2" s="73" customFormat="1" ht="27.75" customHeight="1">
      <c r="A31" s="132" t="s">
        <v>1249</v>
      </c>
      <c r="B31" s="72">
        <v>6</v>
      </c>
    </row>
    <row r="32" spans="1:2" s="73" customFormat="1" ht="30.75" customHeight="1">
      <c r="A32" s="132" t="s">
        <v>1250</v>
      </c>
      <c r="B32" s="72">
        <v>6</v>
      </c>
    </row>
    <row r="33" spans="1:2" s="73" customFormat="1" ht="15.75" customHeight="1">
      <c r="A33" s="132" t="s">
        <v>1251</v>
      </c>
      <c r="B33" s="72">
        <v>6</v>
      </c>
    </row>
    <row r="34" spans="1:2" s="73" customFormat="1" ht="15.75" customHeight="1">
      <c r="A34" s="132" t="s">
        <v>1252</v>
      </c>
      <c r="B34" s="72">
        <v>1</v>
      </c>
    </row>
    <row r="35" spans="1:2" s="73" customFormat="1" ht="15.75" customHeight="1">
      <c r="A35" s="132" t="s">
        <v>1253</v>
      </c>
      <c r="B35" s="72">
        <v>4</v>
      </c>
    </row>
    <row r="36" spans="1:2" s="73" customFormat="1" ht="15.75" customHeight="1">
      <c r="A36" s="135" t="s">
        <v>1254</v>
      </c>
      <c r="B36" s="123">
        <v>4</v>
      </c>
    </row>
    <row r="37" spans="1:2" s="73" customFormat="1">
      <c r="A37" s="132" t="s">
        <v>1255</v>
      </c>
      <c r="B37" s="72">
        <v>6</v>
      </c>
    </row>
    <row r="38" spans="1:2" s="73" customFormat="1" ht="18.75" customHeight="1">
      <c r="A38" s="132" t="s">
        <v>1256</v>
      </c>
      <c r="B38" s="72">
        <v>4</v>
      </c>
    </row>
    <row r="39" spans="1:2" s="73" customFormat="1" ht="28.5">
      <c r="A39" s="132" t="s">
        <v>1257</v>
      </c>
      <c r="B39" s="72">
        <v>3</v>
      </c>
    </row>
    <row r="40" spans="1:2" s="73" customFormat="1" ht="28.5">
      <c r="A40" s="349" t="s">
        <v>1258</v>
      </c>
      <c r="B40" s="72">
        <v>1</v>
      </c>
    </row>
    <row r="41" spans="1:2" s="73" customFormat="1">
      <c r="A41" s="349" t="s">
        <v>1259</v>
      </c>
      <c r="B41" s="72">
        <v>4.5</v>
      </c>
    </row>
    <row r="42" spans="1:2" s="73" customFormat="1" ht="28.5">
      <c r="A42" s="349" t="s">
        <v>1263</v>
      </c>
      <c r="B42" s="72">
        <v>4.5</v>
      </c>
    </row>
    <row r="43" spans="1:2" s="73" customFormat="1" ht="28.5">
      <c r="A43" s="349" t="s">
        <v>1261</v>
      </c>
      <c r="B43" s="72">
        <v>6</v>
      </c>
    </row>
    <row r="44" spans="1:2" s="73" customFormat="1" ht="28.5">
      <c r="A44" s="349" t="s">
        <v>1262</v>
      </c>
      <c r="B44" s="72">
        <v>2</v>
      </c>
    </row>
    <row r="45" spans="1:2" s="73" customFormat="1" ht="28.5">
      <c r="A45" s="136" t="s">
        <v>1265</v>
      </c>
      <c r="B45" s="72">
        <v>6</v>
      </c>
    </row>
    <row r="46" spans="1:2" s="73" customFormat="1" ht="28.5">
      <c r="A46" s="349" t="s">
        <v>1266</v>
      </c>
      <c r="B46" s="72">
        <v>6</v>
      </c>
    </row>
    <row r="47" spans="1:2" s="73" customFormat="1" ht="28.5">
      <c r="A47" s="139" t="s">
        <v>1267</v>
      </c>
      <c r="B47" s="72">
        <v>1</v>
      </c>
    </row>
    <row r="48" spans="1:2" s="73" customFormat="1">
      <c r="A48" s="138" t="s">
        <v>1268</v>
      </c>
      <c r="B48" s="72">
        <v>1</v>
      </c>
    </row>
    <row r="49" spans="1:2" s="73" customFormat="1" ht="28.5">
      <c r="A49" s="139" t="s">
        <v>1269</v>
      </c>
      <c r="B49" s="72">
        <v>2</v>
      </c>
    </row>
    <row r="50" spans="1:2" s="73" customFormat="1" ht="32.25" customHeight="1">
      <c r="A50" s="139" t="s">
        <v>1270</v>
      </c>
      <c r="B50" s="72">
        <v>2</v>
      </c>
    </row>
    <row r="51" spans="1:2" s="73" customFormat="1" ht="32.25" customHeight="1">
      <c r="A51" s="97" t="s">
        <v>1271</v>
      </c>
      <c r="B51" s="72">
        <v>2</v>
      </c>
    </row>
    <row r="52" spans="1:2" s="73" customFormat="1" ht="15" customHeight="1">
      <c r="A52" s="84" t="s">
        <v>1272</v>
      </c>
      <c r="B52" s="72">
        <v>6</v>
      </c>
    </row>
    <row r="53" spans="1:2" s="73" customFormat="1" ht="15" customHeight="1">
      <c r="A53" s="84" t="s">
        <v>1273</v>
      </c>
      <c r="B53" s="72">
        <v>6</v>
      </c>
    </row>
    <row r="54" spans="1:2" s="73" customFormat="1" ht="15" customHeight="1">
      <c r="A54" s="84" t="s">
        <v>1274</v>
      </c>
      <c r="B54" s="72">
        <v>6</v>
      </c>
    </row>
    <row r="55" spans="1:2" s="73" customFormat="1" ht="15" customHeight="1">
      <c r="A55" s="84" t="s">
        <v>1275</v>
      </c>
      <c r="B55" s="72">
        <v>6</v>
      </c>
    </row>
    <row r="56" spans="1:2" s="73" customFormat="1">
      <c r="A56" s="84" t="s">
        <v>1277</v>
      </c>
      <c r="B56" s="72">
        <v>1</v>
      </c>
    </row>
    <row r="57" spans="1:2" s="73" customFormat="1">
      <c r="A57" s="84" t="s">
        <v>1278</v>
      </c>
      <c r="B57" s="72">
        <v>6</v>
      </c>
    </row>
    <row r="58" spans="1:2" s="73" customFormat="1" ht="28.5">
      <c r="A58" s="97" t="s">
        <v>1279</v>
      </c>
      <c r="B58" s="72">
        <v>4</v>
      </c>
    </row>
    <row r="59" spans="1:2" s="73" customFormat="1" ht="33" customHeight="1">
      <c r="A59" s="97" t="s">
        <v>1280</v>
      </c>
      <c r="B59" s="72">
        <v>12</v>
      </c>
    </row>
    <row r="60" spans="1:2" s="73" customFormat="1" ht="33" customHeight="1">
      <c r="A60" s="97" t="s">
        <v>1282</v>
      </c>
      <c r="B60" s="72">
        <v>8</v>
      </c>
    </row>
    <row r="61" spans="1:2" s="73" customFormat="1" ht="19.5" customHeight="1">
      <c r="A61" s="84" t="s">
        <v>1283</v>
      </c>
      <c r="B61" s="72">
        <v>4</v>
      </c>
    </row>
    <row r="62" spans="1:2" s="73" customFormat="1" ht="34.5" customHeight="1">
      <c r="A62" s="97" t="s">
        <v>1284</v>
      </c>
      <c r="B62" s="72">
        <v>2</v>
      </c>
    </row>
    <row r="63" spans="1:2" s="73" customFormat="1" ht="20.25" customHeight="1">
      <c r="A63" s="84" t="s">
        <v>1285</v>
      </c>
      <c r="B63" s="72">
        <v>3</v>
      </c>
    </row>
    <row r="64" spans="1:2" s="73" customFormat="1" ht="32.25" customHeight="1">
      <c r="A64" s="97" t="s">
        <v>1286</v>
      </c>
      <c r="B64" s="72">
        <v>4</v>
      </c>
    </row>
    <row r="65" spans="1:2" s="73" customFormat="1" ht="18.75" customHeight="1">
      <c r="A65" s="84" t="s">
        <v>1287</v>
      </c>
      <c r="B65" s="72">
        <v>6</v>
      </c>
    </row>
    <row r="66" spans="1:2" s="73" customFormat="1" ht="27.75" customHeight="1">
      <c r="A66" s="354" t="s">
        <v>1288</v>
      </c>
      <c r="B66" s="72">
        <v>4</v>
      </c>
    </row>
    <row r="67" spans="1:2" s="73" customFormat="1" ht="27" customHeight="1">
      <c r="A67" s="355" t="s">
        <v>1289</v>
      </c>
      <c r="B67" s="72">
        <v>6</v>
      </c>
    </row>
    <row r="68" spans="1:2" s="73" customFormat="1" ht="31.5" customHeight="1">
      <c r="A68" s="355" t="s">
        <v>1290</v>
      </c>
      <c r="B68" s="72">
        <v>4</v>
      </c>
    </row>
    <row r="69" spans="1:2" s="73" customFormat="1" ht="28.5">
      <c r="A69" s="355" t="s">
        <v>1291</v>
      </c>
      <c r="B69" s="72">
        <f>2+2</f>
        <v>4</v>
      </c>
    </row>
    <row r="70" spans="1:2" ht="42.75">
      <c r="A70" s="354" t="s">
        <v>1293</v>
      </c>
      <c r="B70" s="127">
        <v>4</v>
      </c>
    </row>
    <row r="71" spans="1:2" s="73" customFormat="1" ht="29.25" customHeight="1">
      <c r="A71" s="354" t="s">
        <v>1294</v>
      </c>
      <c r="B71" s="72">
        <v>4</v>
      </c>
    </row>
    <row r="72" spans="1:2" s="73" customFormat="1" ht="28.5">
      <c r="A72" s="355" t="s">
        <v>1295</v>
      </c>
      <c r="B72" s="72">
        <v>4</v>
      </c>
    </row>
    <row r="73" spans="1:2" s="73" customFormat="1" ht="21" customHeight="1">
      <c r="A73" s="357" t="s">
        <v>1296</v>
      </c>
      <c r="B73" s="72">
        <f>2+2</f>
        <v>4</v>
      </c>
    </row>
    <row r="74" spans="1:2" s="73" customFormat="1" ht="30" customHeight="1">
      <c r="A74" s="357" t="s">
        <v>1297</v>
      </c>
      <c r="B74" s="72">
        <v>4</v>
      </c>
    </row>
    <row r="75" spans="1:2" s="73" customFormat="1" ht="31.5" customHeight="1">
      <c r="A75" s="357" t="s">
        <v>1298</v>
      </c>
      <c r="B75" s="72">
        <v>8</v>
      </c>
    </row>
    <row r="76" spans="1:2" s="73" customFormat="1" ht="30" customHeight="1">
      <c r="A76" s="354" t="s">
        <v>1299</v>
      </c>
      <c r="B76" s="72">
        <v>4</v>
      </c>
    </row>
    <row r="77" spans="1:2" s="73" customFormat="1" ht="15" customHeight="1">
      <c r="A77" s="354" t="s">
        <v>1301</v>
      </c>
      <c r="B77" s="72">
        <v>4</v>
      </c>
    </row>
    <row r="78" spans="1:2" s="73" customFormat="1" ht="33.75" customHeight="1">
      <c r="A78" s="354" t="s">
        <v>1303</v>
      </c>
      <c r="B78" s="72">
        <v>4</v>
      </c>
    </row>
    <row r="79" spans="1:2" s="73" customFormat="1" ht="28.5">
      <c r="A79" s="355" t="s">
        <v>1304</v>
      </c>
      <c r="B79" s="72">
        <v>8</v>
      </c>
    </row>
    <row r="80" spans="1:2" s="73" customFormat="1" ht="34.5" customHeight="1">
      <c r="A80" s="135" t="s">
        <v>1306</v>
      </c>
      <c r="B80" s="123">
        <v>4</v>
      </c>
    </row>
    <row r="81" spans="1:2" s="73" customFormat="1" ht="33.75" customHeight="1">
      <c r="A81" s="354" t="s">
        <v>1308</v>
      </c>
      <c r="B81" s="72">
        <v>4</v>
      </c>
    </row>
    <row r="82" spans="1:2" s="73" customFormat="1" ht="35.25" customHeight="1">
      <c r="A82" s="354" t="s">
        <v>1309</v>
      </c>
      <c r="B82" s="72">
        <v>4</v>
      </c>
    </row>
    <row r="83" spans="1:2" s="73" customFormat="1" ht="30" customHeight="1">
      <c r="A83" s="354" t="s">
        <v>1311</v>
      </c>
      <c r="B83" s="72">
        <v>8</v>
      </c>
    </row>
    <row r="84" spans="1:2" s="73" customFormat="1" ht="15.75" customHeight="1" thickBot="1">
      <c r="A84" s="356" t="s">
        <v>1317</v>
      </c>
      <c r="B84" s="72">
        <v>4</v>
      </c>
    </row>
    <row r="85" spans="1:2" s="73" customFormat="1" ht="29.25" thickBot="1">
      <c r="A85" s="359" t="s">
        <v>1318</v>
      </c>
      <c r="B85" s="72">
        <v>4</v>
      </c>
    </row>
    <row r="86" spans="1:2" s="73" customFormat="1" ht="36" customHeight="1">
      <c r="A86" s="97" t="s">
        <v>1319</v>
      </c>
      <c r="B86" s="72">
        <v>4</v>
      </c>
    </row>
    <row r="87" spans="1:2" s="73" customFormat="1" ht="21.75" customHeight="1">
      <c r="A87" s="354" t="s">
        <v>1320</v>
      </c>
      <c r="B87" s="72">
        <v>4</v>
      </c>
    </row>
    <row r="88" spans="1:2" s="73" customFormat="1" ht="30.75" customHeight="1">
      <c r="A88" s="355" t="s">
        <v>1321</v>
      </c>
      <c r="B88" s="72">
        <v>4</v>
      </c>
    </row>
    <row r="89" spans="1:2" s="73" customFormat="1" ht="33" customHeight="1">
      <c r="A89" s="357" t="s">
        <v>1322</v>
      </c>
      <c r="B89" s="72">
        <v>4</v>
      </c>
    </row>
    <row r="90" spans="1:2" s="73" customFormat="1" ht="28.5">
      <c r="A90" s="355" t="s">
        <v>1323</v>
      </c>
      <c r="B90" s="72">
        <v>4</v>
      </c>
    </row>
    <row r="91" spans="1:2" s="73" customFormat="1">
      <c r="A91" s="355" t="s">
        <v>1325</v>
      </c>
      <c r="B91" s="72">
        <v>1.5</v>
      </c>
    </row>
    <row r="92" spans="1:2" s="73" customFormat="1" ht="28.5">
      <c r="A92" s="355" t="s">
        <v>1328</v>
      </c>
      <c r="B92" s="72">
        <v>6</v>
      </c>
    </row>
    <row r="93" spans="1:2" s="73" customFormat="1" ht="28.5">
      <c r="A93" s="355" t="s">
        <v>1332</v>
      </c>
      <c r="B93" s="72">
        <v>2</v>
      </c>
    </row>
    <row r="94" spans="1:2" s="73" customFormat="1" ht="42.75">
      <c r="A94" s="355" t="s">
        <v>1333</v>
      </c>
      <c r="B94" s="72">
        <v>6</v>
      </c>
    </row>
    <row r="95" spans="1:2" s="73" customFormat="1" ht="28.5">
      <c r="A95" s="355" t="s">
        <v>1334</v>
      </c>
      <c r="B95" s="72">
        <v>8</v>
      </c>
    </row>
    <row r="96" spans="1:2" s="73" customFormat="1" ht="28.5">
      <c r="A96" s="355" t="s">
        <v>1335</v>
      </c>
      <c r="B96" s="72">
        <v>6</v>
      </c>
    </row>
    <row r="97" spans="1:251" ht="15.75" customHeight="1">
      <c r="A97" s="346" t="s">
        <v>1239</v>
      </c>
      <c r="B97" s="76"/>
    </row>
    <row r="98" spans="1:251" s="73" customFormat="1" ht="15.75" customHeight="1">
      <c r="A98" s="349" t="s">
        <v>1260</v>
      </c>
      <c r="B98" s="72">
        <v>1.5</v>
      </c>
    </row>
    <row r="99" spans="1:251" s="73" customFormat="1">
      <c r="A99" s="358" t="s">
        <v>1276</v>
      </c>
      <c r="B99" s="72">
        <v>1.5</v>
      </c>
    </row>
    <row r="100" spans="1:251" s="73" customFormat="1">
      <c r="A100" s="358" t="s">
        <v>1281</v>
      </c>
      <c r="B100" s="72">
        <v>1.5</v>
      </c>
    </row>
    <row r="101" spans="1:251" s="73" customFormat="1">
      <c r="A101" s="358" t="s">
        <v>1300</v>
      </c>
      <c r="B101" s="72">
        <v>2</v>
      </c>
    </row>
    <row r="102" spans="1:251" s="73" customFormat="1" ht="17.25" customHeight="1">
      <c r="A102" s="358" t="s">
        <v>1302</v>
      </c>
      <c r="B102" s="72">
        <v>3</v>
      </c>
    </row>
    <row r="103" spans="1:251" s="73" customFormat="1">
      <c r="A103" s="358" t="s">
        <v>1312</v>
      </c>
      <c r="B103" s="72">
        <v>2</v>
      </c>
    </row>
    <row r="104" spans="1:251" s="73" customFormat="1">
      <c r="A104" s="358" t="s">
        <v>1316</v>
      </c>
      <c r="B104" s="72">
        <v>1</v>
      </c>
    </row>
    <row r="105" spans="1:251" s="73" customFormat="1" ht="28.5">
      <c r="A105" s="354" t="s">
        <v>1331</v>
      </c>
      <c r="B105" s="72">
        <v>1.5</v>
      </c>
    </row>
    <row r="106" spans="1:251" ht="16.5" customHeight="1">
      <c r="A106" s="358" t="s">
        <v>354</v>
      </c>
      <c r="B106" s="72">
        <f>SUM(B7:B105)</f>
        <v>387</v>
      </c>
    </row>
    <row r="107" spans="1:251" s="55" customFormat="1" ht="16.5" customHeight="1">
      <c r="A107" s="211"/>
      <c r="B107" s="86"/>
    </row>
    <row r="108" spans="1:251" s="55" customFormat="1" ht="16.5" customHeight="1">
      <c r="A108" s="211"/>
      <c r="B108" s="86"/>
    </row>
    <row r="109" spans="1:251" s="179" customFormat="1" ht="43.5" customHeight="1">
      <c r="A109" s="705" t="s">
        <v>1572</v>
      </c>
      <c r="B109" s="705"/>
      <c r="C109" s="705"/>
      <c r="IQ109"/>
    </row>
    <row r="110" spans="1:251" s="179" customFormat="1" ht="40.5" customHeight="1">
      <c r="A110" s="430" t="s">
        <v>654</v>
      </c>
      <c r="B110" s="391" t="s">
        <v>1132</v>
      </c>
      <c r="C110" s="221" t="s">
        <v>1134</v>
      </c>
      <c r="IQ110"/>
    </row>
    <row r="111" spans="1:251" s="73" customFormat="1">
      <c r="A111" s="431" t="s">
        <v>593</v>
      </c>
      <c r="B111" s="428">
        <v>1236.4000000000001</v>
      </c>
      <c r="C111" s="193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  <c r="CF111" s="230"/>
      <c r="CG111" s="230"/>
      <c r="CH111" s="230"/>
      <c r="CI111" s="230"/>
      <c r="CJ111" s="230"/>
      <c r="CK111" s="230"/>
      <c r="CL111" s="230"/>
      <c r="CM111" s="230"/>
      <c r="CN111" s="230"/>
      <c r="CO111" s="230"/>
      <c r="CP111" s="230"/>
      <c r="CQ111" s="230"/>
      <c r="CR111" s="230"/>
      <c r="CS111" s="230"/>
      <c r="CT111" s="230"/>
      <c r="CU111" s="230"/>
      <c r="CV111" s="230"/>
      <c r="CW111" s="230"/>
      <c r="CX111" s="230"/>
      <c r="CY111" s="230"/>
      <c r="CZ111" s="230"/>
      <c r="DA111" s="230"/>
      <c r="DB111" s="230"/>
      <c r="DC111" s="230"/>
      <c r="DD111" s="230"/>
      <c r="DE111" s="230"/>
      <c r="DF111" s="230"/>
      <c r="DG111" s="230"/>
      <c r="DH111" s="230"/>
      <c r="DI111" s="230"/>
      <c r="DJ111" s="230"/>
      <c r="DK111" s="230"/>
      <c r="DL111" s="230"/>
      <c r="DM111" s="230"/>
      <c r="DN111" s="230"/>
      <c r="DO111" s="230"/>
      <c r="DP111" s="230"/>
      <c r="DQ111" s="230"/>
      <c r="DR111" s="230"/>
      <c r="DS111" s="230"/>
      <c r="DT111" s="230"/>
      <c r="DU111" s="230"/>
      <c r="DV111" s="230"/>
      <c r="DW111" s="230"/>
      <c r="DX111" s="230"/>
      <c r="DY111" s="230"/>
      <c r="DZ111" s="230"/>
      <c r="EA111" s="230"/>
      <c r="EB111" s="230"/>
      <c r="EC111" s="230"/>
      <c r="ED111" s="230"/>
      <c r="EE111" s="230"/>
      <c r="EF111" s="230"/>
      <c r="EG111" s="230"/>
      <c r="EH111" s="230"/>
      <c r="EI111" s="230"/>
      <c r="EJ111" s="230"/>
      <c r="EK111" s="230"/>
      <c r="EL111" s="230"/>
      <c r="EM111" s="230"/>
      <c r="EN111" s="230"/>
      <c r="EO111" s="230"/>
      <c r="EP111" s="230"/>
      <c r="EQ111" s="230"/>
      <c r="ER111" s="230"/>
      <c r="ES111" s="230"/>
      <c r="ET111" s="230"/>
      <c r="EU111" s="230"/>
      <c r="EV111" s="230"/>
      <c r="EW111" s="230"/>
      <c r="EX111" s="230"/>
      <c r="EY111" s="230"/>
      <c r="EZ111" s="230"/>
      <c r="FA111" s="230"/>
      <c r="FB111" s="230"/>
      <c r="FC111" s="230"/>
      <c r="FD111" s="230"/>
      <c r="FE111" s="230"/>
      <c r="FF111" s="230"/>
      <c r="FG111" s="230"/>
      <c r="FH111" s="230"/>
      <c r="FI111" s="230"/>
      <c r="FJ111" s="230"/>
      <c r="FK111" s="230"/>
      <c r="FL111" s="230"/>
      <c r="FM111" s="230"/>
      <c r="FN111" s="230"/>
      <c r="FO111" s="230"/>
      <c r="FP111" s="230"/>
      <c r="FQ111" s="230"/>
      <c r="FR111" s="230"/>
      <c r="FS111" s="230"/>
      <c r="FT111" s="230"/>
      <c r="FU111" s="230"/>
      <c r="FV111" s="230"/>
      <c r="FW111" s="230"/>
      <c r="FX111" s="230"/>
      <c r="FY111" s="230"/>
      <c r="FZ111" s="230"/>
      <c r="GA111" s="230"/>
      <c r="GB111" s="230"/>
      <c r="GC111" s="230"/>
      <c r="GD111" s="230"/>
      <c r="GE111" s="230"/>
      <c r="GF111" s="230"/>
      <c r="GG111" s="230"/>
      <c r="GH111" s="230"/>
      <c r="GI111" s="230"/>
      <c r="GJ111" s="230"/>
      <c r="GK111" s="230"/>
      <c r="GL111" s="230"/>
      <c r="GM111" s="230"/>
      <c r="GN111" s="230"/>
      <c r="GO111" s="230"/>
      <c r="GP111" s="230"/>
      <c r="GQ111" s="230"/>
      <c r="GR111" s="230"/>
      <c r="GS111" s="230"/>
      <c r="GT111" s="230"/>
      <c r="GU111" s="230"/>
      <c r="GV111" s="230"/>
      <c r="GW111" s="230"/>
      <c r="GX111" s="230"/>
      <c r="GY111" s="230"/>
      <c r="GZ111" s="230"/>
      <c r="HA111" s="230"/>
      <c r="HB111" s="230"/>
      <c r="HC111" s="230"/>
      <c r="HD111" s="230"/>
      <c r="HE111" s="230"/>
      <c r="HF111" s="230"/>
      <c r="HG111" s="230"/>
      <c r="HH111" s="230"/>
      <c r="HI111" s="230"/>
      <c r="HJ111" s="230"/>
      <c r="HK111" s="230"/>
      <c r="HL111" s="230"/>
      <c r="HM111" s="230"/>
      <c r="HN111" s="230"/>
      <c r="HO111" s="230"/>
      <c r="HP111" s="230"/>
      <c r="HQ111" s="230"/>
      <c r="HR111" s="230"/>
      <c r="HS111" s="230"/>
      <c r="HT111" s="230"/>
      <c r="HU111" s="230"/>
      <c r="HV111" s="230"/>
      <c r="HW111" s="230"/>
      <c r="HX111" s="230"/>
      <c r="HY111" s="230"/>
      <c r="HZ111" s="230"/>
      <c r="IA111" s="230"/>
      <c r="IB111" s="230"/>
      <c r="IC111" s="230"/>
      <c r="ID111" s="230"/>
      <c r="IE111" s="230"/>
      <c r="IF111" s="230"/>
      <c r="IG111" s="230"/>
      <c r="IH111" s="230"/>
      <c r="II111" s="230"/>
      <c r="IJ111" s="230"/>
      <c r="IK111" s="230"/>
      <c r="IL111" s="230"/>
      <c r="IM111" s="230"/>
      <c r="IN111" s="230"/>
      <c r="IO111" s="230"/>
      <c r="IP111" s="230"/>
    </row>
    <row r="112" spans="1:251" s="73" customFormat="1">
      <c r="A112" s="431" t="s">
        <v>594</v>
      </c>
      <c r="B112" s="425">
        <v>30.24</v>
      </c>
      <c r="C112" s="193" t="e">
        <f>C123+C125+C126+#REF!+C127+C128+C130+C133+#REF!</f>
        <v>#REF!</v>
      </c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  <c r="CF112" s="230"/>
      <c r="CG112" s="230"/>
      <c r="CH112" s="230"/>
      <c r="CI112" s="230"/>
      <c r="CJ112" s="230"/>
      <c r="CK112" s="230"/>
      <c r="CL112" s="230"/>
      <c r="CM112" s="230"/>
      <c r="CN112" s="230"/>
      <c r="CO112" s="230"/>
      <c r="CP112" s="230"/>
      <c r="CQ112" s="230"/>
      <c r="CR112" s="230"/>
      <c r="CS112" s="230"/>
      <c r="CT112" s="230"/>
      <c r="CU112" s="230"/>
      <c r="CV112" s="230"/>
      <c r="CW112" s="230"/>
      <c r="CX112" s="230"/>
      <c r="CY112" s="230"/>
      <c r="CZ112" s="230"/>
      <c r="DA112" s="230"/>
      <c r="DB112" s="230"/>
      <c r="DC112" s="230"/>
      <c r="DD112" s="230"/>
      <c r="DE112" s="230"/>
      <c r="DF112" s="230"/>
      <c r="DG112" s="230"/>
      <c r="DH112" s="230"/>
      <c r="DI112" s="230"/>
      <c r="DJ112" s="230"/>
      <c r="DK112" s="230"/>
      <c r="DL112" s="230"/>
      <c r="DM112" s="230"/>
      <c r="DN112" s="230"/>
      <c r="DO112" s="230"/>
      <c r="DP112" s="230"/>
      <c r="DQ112" s="230"/>
      <c r="DR112" s="230"/>
      <c r="DS112" s="230"/>
      <c r="DT112" s="230"/>
      <c r="DU112" s="230"/>
      <c r="DV112" s="230"/>
      <c r="DW112" s="230"/>
      <c r="DX112" s="230"/>
      <c r="DY112" s="230"/>
      <c r="DZ112" s="230"/>
      <c r="EA112" s="230"/>
      <c r="EB112" s="230"/>
      <c r="EC112" s="230"/>
      <c r="ED112" s="230"/>
      <c r="EE112" s="230"/>
      <c r="EF112" s="230"/>
      <c r="EG112" s="230"/>
      <c r="EH112" s="230"/>
      <c r="EI112" s="230"/>
      <c r="EJ112" s="230"/>
      <c r="EK112" s="230"/>
      <c r="EL112" s="230"/>
      <c r="EM112" s="230"/>
      <c r="EN112" s="230"/>
      <c r="EO112" s="230"/>
      <c r="EP112" s="230"/>
      <c r="EQ112" s="230"/>
      <c r="ER112" s="230"/>
      <c r="ES112" s="230"/>
      <c r="ET112" s="230"/>
      <c r="EU112" s="230"/>
      <c r="EV112" s="230"/>
      <c r="EW112" s="230"/>
      <c r="EX112" s="230"/>
      <c r="EY112" s="230"/>
      <c r="EZ112" s="230"/>
      <c r="FA112" s="230"/>
      <c r="FB112" s="230"/>
      <c r="FC112" s="230"/>
      <c r="FD112" s="230"/>
      <c r="FE112" s="230"/>
      <c r="FF112" s="230"/>
      <c r="FG112" s="230"/>
      <c r="FH112" s="230"/>
      <c r="FI112" s="230"/>
      <c r="FJ112" s="230"/>
      <c r="FK112" s="230"/>
      <c r="FL112" s="230"/>
      <c r="FM112" s="230"/>
      <c r="FN112" s="230"/>
      <c r="FO112" s="230"/>
      <c r="FP112" s="230"/>
      <c r="FQ112" s="230"/>
      <c r="FR112" s="230"/>
      <c r="FS112" s="230"/>
      <c r="FT112" s="230"/>
      <c r="FU112" s="230"/>
      <c r="FV112" s="230"/>
      <c r="FW112" s="230"/>
      <c r="FX112" s="230"/>
      <c r="FY112" s="230"/>
      <c r="FZ112" s="230"/>
      <c r="GA112" s="230"/>
      <c r="GB112" s="230"/>
      <c r="GC112" s="230"/>
      <c r="GD112" s="230"/>
      <c r="GE112" s="230"/>
      <c r="GF112" s="230"/>
      <c r="GG112" s="230"/>
      <c r="GH112" s="230"/>
      <c r="GI112" s="230"/>
      <c r="GJ112" s="230"/>
      <c r="GK112" s="230"/>
      <c r="GL112" s="230"/>
      <c r="GM112" s="230"/>
      <c r="GN112" s="230"/>
      <c r="GO112" s="230"/>
      <c r="GP112" s="230"/>
      <c r="GQ112" s="230"/>
      <c r="GR112" s="230"/>
      <c r="GS112" s="230"/>
      <c r="GT112" s="230"/>
      <c r="GU112" s="230"/>
      <c r="GV112" s="230"/>
      <c r="GW112" s="230"/>
      <c r="GX112" s="230"/>
      <c r="GY112" s="230"/>
      <c r="GZ112" s="230"/>
      <c r="HA112" s="230"/>
      <c r="HB112" s="230"/>
      <c r="HC112" s="230"/>
      <c r="HD112" s="230"/>
      <c r="HE112" s="230"/>
      <c r="HF112" s="230"/>
      <c r="HG112" s="230"/>
      <c r="HH112" s="230"/>
      <c r="HI112" s="230"/>
      <c r="HJ112" s="230"/>
      <c r="HK112" s="230"/>
      <c r="HL112" s="230"/>
      <c r="HM112" s="230"/>
      <c r="HN112" s="230"/>
      <c r="HO112" s="230"/>
      <c r="HP112" s="230"/>
      <c r="HQ112" s="230"/>
      <c r="HR112" s="230"/>
      <c r="HS112" s="230"/>
      <c r="HT112" s="230"/>
      <c r="HU112" s="230"/>
      <c r="HV112" s="230"/>
      <c r="HW112" s="230"/>
      <c r="HX112" s="230"/>
      <c r="HY112" s="230"/>
      <c r="HZ112" s="230"/>
      <c r="IA112" s="230"/>
      <c r="IB112" s="230"/>
      <c r="IC112" s="230"/>
      <c r="ID112" s="230"/>
      <c r="IE112" s="230"/>
      <c r="IF112" s="230"/>
      <c r="IG112" s="230"/>
      <c r="IH112" s="230"/>
      <c r="II112" s="230"/>
      <c r="IJ112" s="230"/>
      <c r="IK112" s="230"/>
      <c r="IL112" s="230"/>
      <c r="IM112" s="230"/>
      <c r="IN112" s="230"/>
      <c r="IO112" s="230"/>
      <c r="IP112" s="230"/>
    </row>
    <row r="113" spans="1:250" s="73" customFormat="1">
      <c r="A113" s="432" t="s">
        <v>711</v>
      </c>
      <c r="B113" s="423">
        <v>67899.39</v>
      </c>
      <c r="C113" s="193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  <c r="CF113" s="230"/>
      <c r="CG113" s="230"/>
      <c r="CH113" s="230"/>
      <c r="CI113" s="230"/>
      <c r="CJ113" s="230"/>
      <c r="CK113" s="230"/>
      <c r="CL113" s="230"/>
      <c r="CM113" s="230"/>
      <c r="CN113" s="230"/>
      <c r="CO113" s="230"/>
      <c r="CP113" s="230"/>
      <c r="CQ113" s="230"/>
      <c r="CR113" s="230"/>
      <c r="CS113" s="230"/>
      <c r="CT113" s="230"/>
      <c r="CU113" s="230"/>
      <c r="CV113" s="230"/>
      <c r="CW113" s="230"/>
      <c r="CX113" s="230"/>
      <c r="CY113" s="230"/>
      <c r="CZ113" s="230"/>
      <c r="DA113" s="230"/>
      <c r="DB113" s="230"/>
      <c r="DC113" s="230"/>
      <c r="DD113" s="230"/>
      <c r="DE113" s="230"/>
      <c r="DF113" s="230"/>
      <c r="DG113" s="230"/>
      <c r="DH113" s="230"/>
      <c r="DI113" s="230"/>
      <c r="DJ113" s="230"/>
      <c r="DK113" s="230"/>
      <c r="DL113" s="230"/>
      <c r="DM113" s="230"/>
      <c r="DN113" s="230"/>
      <c r="DO113" s="230"/>
      <c r="DP113" s="230"/>
      <c r="DQ113" s="230"/>
      <c r="DR113" s="230"/>
      <c r="DS113" s="230"/>
      <c r="DT113" s="230"/>
      <c r="DU113" s="230"/>
      <c r="DV113" s="230"/>
      <c r="DW113" s="230"/>
      <c r="DX113" s="230"/>
      <c r="DY113" s="230"/>
      <c r="DZ113" s="230"/>
      <c r="EA113" s="230"/>
      <c r="EB113" s="230"/>
      <c r="EC113" s="230"/>
      <c r="ED113" s="230"/>
      <c r="EE113" s="230"/>
      <c r="EF113" s="230"/>
      <c r="EG113" s="230"/>
      <c r="EH113" s="230"/>
      <c r="EI113" s="230"/>
      <c r="EJ113" s="230"/>
      <c r="EK113" s="230"/>
      <c r="EL113" s="230"/>
      <c r="EM113" s="230"/>
      <c r="EN113" s="230"/>
      <c r="EO113" s="230"/>
      <c r="EP113" s="230"/>
      <c r="EQ113" s="230"/>
      <c r="ER113" s="230"/>
      <c r="ES113" s="230"/>
      <c r="ET113" s="230"/>
      <c r="EU113" s="230"/>
      <c r="EV113" s="230"/>
      <c r="EW113" s="230"/>
      <c r="EX113" s="230"/>
      <c r="EY113" s="230"/>
      <c r="EZ113" s="230"/>
      <c r="FA113" s="230"/>
      <c r="FB113" s="230"/>
      <c r="FC113" s="230"/>
      <c r="FD113" s="230"/>
      <c r="FE113" s="230"/>
      <c r="FF113" s="230"/>
      <c r="FG113" s="230"/>
      <c r="FH113" s="230"/>
      <c r="FI113" s="230"/>
      <c r="FJ113" s="230"/>
      <c r="FK113" s="230"/>
      <c r="FL113" s="230"/>
      <c r="FM113" s="230"/>
      <c r="FN113" s="230"/>
      <c r="FO113" s="230"/>
      <c r="FP113" s="230"/>
      <c r="FQ113" s="230"/>
      <c r="FR113" s="230"/>
      <c r="FS113" s="230"/>
      <c r="FT113" s="230"/>
      <c r="FU113" s="230"/>
      <c r="FV113" s="230"/>
      <c r="FW113" s="230"/>
      <c r="FX113" s="230"/>
      <c r="FY113" s="230"/>
      <c r="FZ113" s="230"/>
      <c r="GA113" s="230"/>
      <c r="GB113" s="230"/>
      <c r="GC113" s="230"/>
      <c r="GD113" s="230"/>
      <c r="GE113" s="230"/>
      <c r="GF113" s="230"/>
      <c r="GG113" s="230"/>
      <c r="GH113" s="230"/>
      <c r="GI113" s="230"/>
      <c r="GJ113" s="230"/>
      <c r="GK113" s="230"/>
      <c r="GL113" s="230"/>
      <c r="GM113" s="230"/>
      <c r="GN113" s="230"/>
      <c r="GO113" s="230"/>
      <c r="GP113" s="230"/>
      <c r="GQ113" s="230"/>
      <c r="GR113" s="230"/>
      <c r="GS113" s="230"/>
      <c r="GT113" s="230"/>
      <c r="GU113" s="230"/>
      <c r="GV113" s="230"/>
      <c r="GW113" s="230"/>
      <c r="GX113" s="230"/>
      <c r="GY113" s="230"/>
      <c r="GZ113" s="230"/>
      <c r="HA113" s="230"/>
      <c r="HB113" s="230"/>
      <c r="HC113" s="230"/>
      <c r="HD113" s="230"/>
      <c r="HE113" s="230"/>
      <c r="HF113" s="230"/>
      <c r="HG113" s="230"/>
      <c r="HH113" s="230"/>
      <c r="HI113" s="230"/>
      <c r="HJ113" s="230"/>
      <c r="HK113" s="230"/>
      <c r="HL113" s="230"/>
      <c r="HM113" s="230"/>
      <c r="HN113" s="230"/>
      <c r="HO113" s="230"/>
      <c r="HP113" s="230"/>
      <c r="HQ113" s="230"/>
      <c r="HR113" s="230"/>
      <c r="HS113" s="230"/>
      <c r="HT113" s="230"/>
      <c r="HU113" s="230"/>
      <c r="HV113" s="230"/>
      <c r="HW113" s="230"/>
      <c r="HX113" s="230"/>
      <c r="HY113" s="230"/>
      <c r="HZ113" s="230"/>
      <c r="IA113" s="230"/>
      <c r="IB113" s="230"/>
      <c r="IC113" s="230"/>
      <c r="ID113" s="230"/>
      <c r="IE113" s="230"/>
      <c r="IF113" s="230"/>
      <c r="IG113" s="230"/>
      <c r="IH113" s="230"/>
      <c r="II113" s="230"/>
      <c r="IJ113" s="230"/>
      <c r="IK113" s="230"/>
      <c r="IL113" s="230"/>
      <c r="IM113" s="230"/>
      <c r="IN113" s="230"/>
      <c r="IO113" s="230"/>
      <c r="IP113" s="230"/>
    </row>
    <row r="114" spans="1:250" s="73" customFormat="1">
      <c r="A114" s="432" t="s">
        <v>1123</v>
      </c>
      <c r="B114" s="423">
        <v>448676.76</v>
      </c>
      <c r="C114" s="193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  <c r="CF114" s="230"/>
      <c r="CG114" s="230"/>
      <c r="CH114" s="230"/>
      <c r="CI114" s="230"/>
      <c r="CJ114" s="230"/>
      <c r="CK114" s="230"/>
      <c r="CL114" s="230"/>
      <c r="CM114" s="230"/>
      <c r="CN114" s="230"/>
      <c r="CO114" s="230"/>
      <c r="CP114" s="230"/>
      <c r="CQ114" s="230"/>
      <c r="CR114" s="230"/>
      <c r="CS114" s="230"/>
      <c r="CT114" s="230"/>
      <c r="CU114" s="230"/>
      <c r="CV114" s="230"/>
      <c r="CW114" s="230"/>
      <c r="CX114" s="230"/>
      <c r="CY114" s="230"/>
      <c r="CZ114" s="230"/>
      <c r="DA114" s="230"/>
      <c r="DB114" s="230"/>
      <c r="DC114" s="230"/>
      <c r="DD114" s="230"/>
      <c r="DE114" s="230"/>
      <c r="DF114" s="230"/>
      <c r="DG114" s="230"/>
      <c r="DH114" s="230"/>
      <c r="DI114" s="230"/>
      <c r="DJ114" s="230"/>
      <c r="DK114" s="230"/>
      <c r="DL114" s="230"/>
      <c r="DM114" s="230"/>
      <c r="DN114" s="230"/>
      <c r="DO114" s="230"/>
      <c r="DP114" s="230"/>
      <c r="DQ114" s="230"/>
      <c r="DR114" s="230"/>
      <c r="DS114" s="230"/>
      <c r="DT114" s="230"/>
      <c r="DU114" s="230"/>
      <c r="DV114" s="230"/>
      <c r="DW114" s="230"/>
      <c r="DX114" s="230"/>
      <c r="DY114" s="230"/>
      <c r="DZ114" s="230"/>
      <c r="EA114" s="230"/>
      <c r="EB114" s="230"/>
      <c r="EC114" s="230"/>
      <c r="ED114" s="230"/>
      <c r="EE114" s="230"/>
      <c r="EF114" s="230"/>
      <c r="EG114" s="230"/>
      <c r="EH114" s="230"/>
      <c r="EI114" s="230"/>
      <c r="EJ114" s="230"/>
      <c r="EK114" s="230"/>
      <c r="EL114" s="230"/>
      <c r="EM114" s="230"/>
      <c r="EN114" s="230"/>
      <c r="EO114" s="230"/>
      <c r="EP114" s="230"/>
      <c r="EQ114" s="230"/>
      <c r="ER114" s="230"/>
      <c r="ES114" s="230"/>
      <c r="ET114" s="230"/>
      <c r="EU114" s="230"/>
      <c r="EV114" s="230"/>
      <c r="EW114" s="230"/>
      <c r="EX114" s="230"/>
      <c r="EY114" s="230"/>
      <c r="EZ114" s="230"/>
      <c r="FA114" s="230"/>
      <c r="FB114" s="230"/>
      <c r="FC114" s="230"/>
      <c r="FD114" s="230"/>
      <c r="FE114" s="230"/>
      <c r="FF114" s="230"/>
      <c r="FG114" s="230"/>
      <c r="FH114" s="230"/>
      <c r="FI114" s="230"/>
      <c r="FJ114" s="230"/>
      <c r="FK114" s="230"/>
      <c r="FL114" s="230"/>
      <c r="FM114" s="230"/>
      <c r="FN114" s="230"/>
      <c r="FO114" s="230"/>
      <c r="FP114" s="230"/>
      <c r="FQ114" s="230"/>
      <c r="FR114" s="230"/>
      <c r="FS114" s="230"/>
      <c r="FT114" s="230"/>
      <c r="FU114" s="230"/>
      <c r="FV114" s="230"/>
      <c r="FW114" s="230"/>
      <c r="FX114" s="230"/>
      <c r="FY114" s="230"/>
      <c r="FZ114" s="230"/>
      <c r="GA114" s="230"/>
      <c r="GB114" s="230"/>
      <c r="GC114" s="230"/>
      <c r="GD114" s="230"/>
      <c r="GE114" s="230"/>
      <c r="GF114" s="230"/>
      <c r="GG114" s="230"/>
      <c r="GH114" s="230"/>
      <c r="GI114" s="230"/>
      <c r="GJ114" s="230"/>
      <c r="GK114" s="230"/>
      <c r="GL114" s="230"/>
      <c r="GM114" s="230"/>
      <c r="GN114" s="230"/>
      <c r="GO114" s="230"/>
      <c r="GP114" s="230"/>
      <c r="GQ114" s="230"/>
      <c r="GR114" s="230"/>
      <c r="GS114" s="230"/>
      <c r="GT114" s="230"/>
      <c r="GU114" s="230"/>
      <c r="GV114" s="230"/>
      <c r="GW114" s="230"/>
      <c r="GX114" s="230"/>
      <c r="GY114" s="230"/>
      <c r="GZ114" s="230"/>
      <c r="HA114" s="230"/>
      <c r="HB114" s="230"/>
      <c r="HC114" s="230"/>
      <c r="HD114" s="230"/>
      <c r="HE114" s="230"/>
      <c r="HF114" s="230"/>
      <c r="HG114" s="230"/>
      <c r="HH114" s="230"/>
      <c r="HI114" s="230"/>
      <c r="HJ114" s="230"/>
      <c r="HK114" s="230"/>
      <c r="HL114" s="230"/>
      <c r="HM114" s="230"/>
      <c r="HN114" s="230"/>
      <c r="HO114" s="230"/>
      <c r="HP114" s="230"/>
      <c r="HQ114" s="230"/>
      <c r="HR114" s="230"/>
      <c r="HS114" s="230"/>
      <c r="HT114" s="230"/>
      <c r="HU114" s="230"/>
      <c r="HV114" s="230"/>
      <c r="HW114" s="230"/>
      <c r="HX114" s="230"/>
      <c r="HY114" s="230"/>
      <c r="HZ114" s="230"/>
      <c r="IA114" s="230"/>
      <c r="IB114" s="230"/>
      <c r="IC114" s="230"/>
      <c r="ID114" s="230"/>
      <c r="IE114" s="230"/>
      <c r="IF114" s="230"/>
      <c r="IG114" s="230"/>
      <c r="IH114" s="230"/>
      <c r="II114" s="230"/>
      <c r="IJ114" s="230"/>
      <c r="IK114" s="230"/>
      <c r="IL114" s="230"/>
      <c r="IM114" s="230"/>
      <c r="IN114" s="230"/>
      <c r="IO114" s="230"/>
      <c r="IP114" s="230"/>
    </row>
    <row r="115" spans="1:250" s="73" customFormat="1">
      <c r="A115" s="432" t="s">
        <v>596</v>
      </c>
      <c r="B115" s="423">
        <v>6331.18</v>
      </c>
      <c r="C115" s="193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0"/>
      <c r="BY115" s="230"/>
      <c r="BZ115" s="230"/>
      <c r="CA115" s="230"/>
      <c r="CB115" s="230"/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  <c r="CM115" s="230"/>
      <c r="CN115" s="230"/>
      <c r="CO115" s="230"/>
      <c r="CP115" s="230"/>
      <c r="CQ115" s="230"/>
      <c r="CR115" s="230"/>
      <c r="CS115" s="230"/>
      <c r="CT115" s="230"/>
      <c r="CU115" s="230"/>
      <c r="CV115" s="230"/>
      <c r="CW115" s="230"/>
      <c r="CX115" s="230"/>
      <c r="CY115" s="230"/>
      <c r="CZ115" s="230"/>
      <c r="DA115" s="230"/>
      <c r="DB115" s="230"/>
      <c r="DC115" s="230"/>
      <c r="DD115" s="230"/>
      <c r="DE115" s="230"/>
      <c r="DF115" s="230"/>
      <c r="DG115" s="230"/>
      <c r="DH115" s="230"/>
      <c r="DI115" s="230"/>
      <c r="DJ115" s="230"/>
      <c r="DK115" s="230"/>
      <c r="DL115" s="230"/>
      <c r="DM115" s="230"/>
      <c r="DN115" s="230"/>
      <c r="DO115" s="230"/>
      <c r="DP115" s="230"/>
      <c r="DQ115" s="230"/>
      <c r="DR115" s="230"/>
      <c r="DS115" s="230"/>
      <c r="DT115" s="230"/>
      <c r="DU115" s="230"/>
      <c r="DV115" s="230"/>
      <c r="DW115" s="230"/>
      <c r="DX115" s="230"/>
      <c r="DY115" s="230"/>
      <c r="DZ115" s="230"/>
      <c r="EA115" s="230"/>
      <c r="EB115" s="230"/>
      <c r="EC115" s="230"/>
      <c r="ED115" s="230"/>
      <c r="EE115" s="230"/>
      <c r="EF115" s="230"/>
      <c r="EG115" s="230"/>
      <c r="EH115" s="230"/>
      <c r="EI115" s="230"/>
      <c r="EJ115" s="230"/>
      <c r="EK115" s="230"/>
      <c r="EL115" s="230"/>
      <c r="EM115" s="230"/>
      <c r="EN115" s="230"/>
      <c r="EO115" s="230"/>
      <c r="EP115" s="230"/>
      <c r="EQ115" s="230"/>
      <c r="ER115" s="230"/>
      <c r="ES115" s="230"/>
      <c r="ET115" s="230"/>
      <c r="EU115" s="230"/>
      <c r="EV115" s="230"/>
      <c r="EW115" s="230"/>
      <c r="EX115" s="230"/>
      <c r="EY115" s="230"/>
      <c r="EZ115" s="230"/>
      <c r="FA115" s="230"/>
      <c r="FB115" s="230"/>
      <c r="FC115" s="230"/>
      <c r="FD115" s="230"/>
      <c r="FE115" s="230"/>
      <c r="FF115" s="230"/>
      <c r="FG115" s="230"/>
      <c r="FH115" s="230"/>
      <c r="FI115" s="230"/>
      <c r="FJ115" s="230"/>
      <c r="FK115" s="230"/>
      <c r="FL115" s="230"/>
      <c r="FM115" s="230"/>
      <c r="FN115" s="230"/>
      <c r="FO115" s="230"/>
      <c r="FP115" s="230"/>
      <c r="FQ115" s="230"/>
      <c r="FR115" s="230"/>
      <c r="FS115" s="230"/>
      <c r="FT115" s="230"/>
      <c r="FU115" s="230"/>
      <c r="FV115" s="230"/>
      <c r="FW115" s="230"/>
      <c r="FX115" s="230"/>
      <c r="FY115" s="230"/>
      <c r="FZ115" s="230"/>
      <c r="GA115" s="230"/>
      <c r="GB115" s="230"/>
      <c r="GC115" s="230"/>
      <c r="GD115" s="230"/>
      <c r="GE115" s="230"/>
      <c r="GF115" s="230"/>
      <c r="GG115" s="230"/>
      <c r="GH115" s="230"/>
      <c r="GI115" s="230"/>
      <c r="GJ115" s="230"/>
      <c r="GK115" s="230"/>
      <c r="GL115" s="230"/>
      <c r="GM115" s="230"/>
      <c r="GN115" s="230"/>
      <c r="GO115" s="230"/>
      <c r="GP115" s="230"/>
      <c r="GQ115" s="230"/>
      <c r="GR115" s="230"/>
      <c r="GS115" s="230"/>
      <c r="GT115" s="230"/>
      <c r="GU115" s="230"/>
      <c r="GV115" s="230"/>
      <c r="GW115" s="230"/>
      <c r="GX115" s="230"/>
      <c r="GY115" s="230"/>
      <c r="GZ115" s="230"/>
      <c r="HA115" s="230"/>
      <c r="HB115" s="230"/>
      <c r="HC115" s="230"/>
      <c r="HD115" s="230"/>
      <c r="HE115" s="230"/>
      <c r="HF115" s="230"/>
      <c r="HG115" s="230"/>
      <c r="HH115" s="230"/>
      <c r="HI115" s="230"/>
      <c r="HJ115" s="230"/>
      <c r="HK115" s="230"/>
      <c r="HL115" s="230"/>
      <c r="HM115" s="230"/>
      <c r="HN115" s="230"/>
      <c r="HO115" s="230"/>
      <c r="HP115" s="230"/>
      <c r="HQ115" s="230"/>
      <c r="HR115" s="230"/>
      <c r="HS115" s="230"/>
      <c r="HT115" s="230"/>
      <c r="HU115" s="230"/>
      <c r="HV115" s="230"/>
      <c r="HW115" s="230"/>
      <c r="HX115" s="230"/>
      <c r="HY115" s="230"/>
      <c r="HZ115" s="230"/>
      <c r="IA115" s="230"/>
      <c r="IB115" s="230"/>
      <c r="IC115" s="230"/>
      <c r="ID115" s="230"/>
      <c r="IE115" s="230"/>
      <c r="IF115" s="230"/>
      <c r="IG115" s="230"/>
      <c r="IH115" s="230"/>
      <c r="II115" s="230"/>
      <c r="IJ115" s="230"/>
      <c r="IK115" s="230"/>
      <c r="IL115" s="230"/>
      <c r="IM115" s="230"/>
      <c r="IN115" s="230"/>
      <c r="IO115" s="230"/>
      <c r="IP115" s="230"/>
    </row>
    <row r="116" spans="1:250" s="73" customFormat="1">
      <c r="A116" s="432" t="s">
        <v>1126</v>
      </c>
      <c r="B116" s="423">
        <v>4883.8500000000004</v>
      </c>
      <c r="C116" s="193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0"/>
      <c r="BV116" s="230"/>
      <c r="BW116" s="230"/>
      <c r="BX116" s="230"/>
      <c r="BY116" s="230"/>
      <c r="BZ116" s="230"/>
      <c r="CA116" s="230"/>
      <c r="CB116" s="230"/>
      <c r="CC116" s="230"/>
      <c r="CD116" s="230"/>
      <c r="CE116" s="230"/>
      <c r="CF116" s="230"/>
      <c r="CG116" s="230"/>
      <c r="CH116" s="230"/>
      <c r="CI116" s="230"/>
      <c r="CJ116" s="230"/>
      <c r="CK116" s="230"/>
      <c r="CL116" s="230"/>
      <c r="CM116" s="230"/>
      <c r="CN116" s="230"/>
      <c r="CO116" s="230"/>
      <c r="CP116" s="230"/>
      <c r="CQ116" s="230"/>
      <c r="CR116" s="230"/>
      <c r="CS116" s="230"/>
      <c r="CT116" s="230"/>
      <c r="CU116" s="230"/>
      <c r="CV116" s="230"/>
      <c r="CW116" s="230"/>
      <c r="CX116" s="230"/>
      <c r="CY116" s="230"/>
      <c r="CZ116" s="230"/>
      <c r="DA116" s="230"/>
      <c r="DB116" s="230"/>
      <c r="DC116" s="230"/>
      <c r="DD116" s="230"/>
      <c r="DE116" s="230"/>
      <c r="DF116" s="230"/>
      <c r="DG116" s="230"/>
      <c r="DH116" s="230"/>
      <c r="DI116" s="230"/>
      <c r="DJ116" s="230"/>
      <c r="DK116" s="230"/>
      <c r="DL116" s="230"/>
      <c r="DM116" s="230"/>
      <c r="DN116" s="230"/>
      <c r="DO116" s="230"/>
      <c r="DP116" s="230"/>
      <c r="DQ116" s="230"/>
      <c r="DR116" s="230"/>
      <c r="DS116" s="230"/>
      <c r="DT116" s="230"/>
      <c r="DU116" s="230"/>
      <c r="DV116" s="230"/>
      <c r="DW116" s="230"/>
      <c r="DX116" s="230"/>
      <c r="DY116" s="230"/>
      <c r="DZ116" s="230"/>
      <c r="EA116" s="230"/>
      <c r="EB116" s="230"/>
      <c r="EC116" s="230"/>
      <c r="ED116" s="230"/>
      <c r="EE116" s="230"/>
      <c r="EF116" s="230"/>
      <c r="EG116" s="230"/>
      <c r="EH116" s="230"/>
      <c r="EI116" s="230"/>
      <c r="EJ116" s="230"/>
      <c r="EK116" s="230"/>
      <c r="EL116" s="230"/>
      <c r="EM116" s="230"/>
      <c r="EN116" s="230"/>
      <c r="EO116" s="230"/>
      <c r="EP116" s="230"/>
      <c r="EQ116" s="230"/>
      <c r="ER116" s="230"/>
      <c r="ES116" s="230"/>
      <c r="ET116" s="230"/>
      <c r="EU116" s="230"/>
      <c r="EV116" s="230"/>
      <c r="EW116" s="230"/>
      <c r="EX116" s="230"/>
      <c r="EY116" s="230"/>
      <c r="EZ116" s="230"/>
      <c r="FA116" s="230"/>
      <c r="FB116" s="230"/>
      <c r="FC116" s="230"/>
      <c r="FD116" s="230"/>
      <c r="FE116" s="230"/>
      <c r="FF116" s="230"/>
      <c r="FG116" s="230"/>
      <c r="FH116" s="230"/>
      <c r="FI116" s="230"/>
      <c r="FJ116" s="230"/>
      <c r="FK116" s="230"/>
      <c r="FL116" s="230"/>
      <c r="FM116" s="230"/>
      <c r="FN116" s="230"/>
      <c r="FO116" s="230"/>
      <c r="FP116" s="230"/>
      <c r="FQ116" s="230"/>
      <c r="FR116" s="230"/>
      <c r="FS116" s="230"/>
      <c r="FT116" s="230"/>
      <c r="FU116" s="230"/>
      <c r="FV116" s="230"/>
      <c r="FW116" s="230"/>
      <c r="FX116" s="230"/>
      <c r="FY116" s="230"/>
      <c r="FZ116" s="230"/>
      <c r="GA116" s="230"/>
      <c r="GB116" s="230"/>
      <c r="GC116" s="230"/>
      <c r="GD116" s="230"/>
      <c r="GE116" s="230"/>
      <c r="GF116" s="230"/>
      <c r="GG116" s="230"/>
      <c r="GH116" s="230"/>
      <c r="GI116" s="230"/>
      <c r="GJ116" s="230"/>
      <c r="GK116" s="230"/>
      <c r="GL116" s="230"/>
      <c r="GM116" s="230"/>
      <c r="GN116" s="230"/>
      <c r="GO116" s="230"/>
      <c r="GP116" s="230"/>
      <c r="GQ116" s="230"/>
      <c r="GR116" s="230"/>
      <c r="GS116" s="230"/>
      <c r="GT116" s="230"/>
      <c r="GU116" s="230"/>
      <c r="GV116" s="230"/>
      <c r="GW116" s="230"/>
      <c r="GX116" s="230"/>
      <c r="GY116" s="230"/>
      <c r="GZ116" s="230"/>
      <c r="HA116" s="230"/>
      <c r="HB116" s="230"/>
      <c r="HC116" s="230"/>
      <c r="HD116" s="230"/>
      <c r="HE116" s="230"/>
      <c r="HF116" s="230"/>
      <c r="HG116" s="230"/>
      <c r="HH116" s="230"/>
      <c r="HI116" s="230"/>
      <c r="HJ116" s="230"/>
      <c r="HK116" s="230"/>
      <c r="HL116" s="230"/>
      <c r="HM116" s="230"/>
      <c r="HN116" s="230"/>
      <c r="HO116" s="230"/>
      <c r="HP116" s="230"/>
      <c r="HQ116" s="230"/>
      <c r="HR116" s="230"/>
      <c r="HS116" s="230"/>
      <c r="HT116" s="230"/>
      <c r="HU116" s="230"/>
      <c r="HV116" s="230"/>
      <c r="HW116" s="230"/>
      <c r="HX116" s="230"/>
      <c r="HY116" s="230"/>
      <c r="HZ116" s="230"/>
      <c r="IA116" s="230"/>
      <c r="IB116" s="230"/>
      <c r="IC116" s="230"/>
      <c r="ID116" s="230"/>
      <c r="IE116" s="230"/>
      <c r="IF116" s="230"/>
      <c r="IG116" s="230"/>
      <c r="IH116" s="230"/>
      <c r="II116" s="230"/>
      <c r="IJ116" s="230"/>
      <c r="IK116" s="230"/>
      <c r="IL116" s="230"/>
      <c r="IM116" s="230"/>
      <c r="IN116" s="230"/>
      <c r="IO116" s="230"/>
      <c r="IP116" s="230"/>
    </row>
    <row r="117" spans="1:250" s="73" customFormat="1">
      <c r="A117" s="432" t="s">
        <v>798</v>
      </c>
      <c r="B117" s="423">
        <f>B113+B114+B115+B116-B118</f>
        <v>445633.18000000005</v>
      </c>
      <c r="C117" s="193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0"/>
      <c r="CY117" s="230"/>
      <c r="CZ117" s="230"/>
      <c r="DA117" s="230"/>
      <c r="DB117" s="230"/>
      <c r="DC117" s="230"/>
      <c r="DD117" s="230"/>
      <c r="DE117" s="230"/>
      <c r="DF117" s="230"/>
      <c r="DG117" s="230"/>
      <c r="DH117" s="230"/>
      <c r="DI117" s="230"/>
      <c r="DJ117" s="230"/>
      <c r="DK117" s="230"/>
      <c r="DL117" s="230"/>
      <c r="DM117" s="230"/>
      <c r="DN117" s="230"/>
      <c r="DO117" s="230"/>
      <c r="DP117" s="230"/>
      <c r="DQ117" s="230"/>
      <c r="DR117" s="230"/>
      <c r="DS117" s="230"/>
      <c r="DT117" s="230"/>
      <c r="DU117" s="230"/>
      <c r="DV117" s="230"/>
      <c r="DW117" s="230"/>
      <c r="DX117" s="230"/>
      <c r="DY117" s="230"/>
      <c r="DZ117" s="230"/>
      <c r="EA117" s="230"/>
      <c r="EB117" s="230"/>
      <c r="EC117" s="230"/>
      <c r="ED117" s="230"/>
      <c r="EE117" s="230"/>
      <c r="EF117" s="230"/>
      <c r="EG117" s="230"/>
      <c r="EH117" s="230"/>
      <c r="EI117" s="230"/>
      <c r="EJ117" s="230"/>
      <c r="EK117" s="230"/>
      <c r="EL117" s="230"/>
      <c r="EM117" s="230"/>
      <c r="EN117" s="230"/>
      <c r="EO117" s="230"/>
      <c r="EP117" s="230"/>
      <c r="EQ117" s="230"/>
      <c r="ER117" s="230"/>
      <c r="ES117" s="230"/>
      <c r="ET117" s="230"/>
      <c r="EU117" s="230"/>
      <c r="EV117" s="230"/>
      <c r="EW117" s="230"/>
      <c r="EX117" s="230"/>
      <c r="EY117" s="230"/>
      <c r="EZ117" s="230"/>
      <c r="FA117" s="230"/>
      <c r="FB117" s="230"/>
      <c r="FC117" s="230"/>
      <c r="FD117" s="230"/>
      <c r="FE117" s="230"/>
      <c r="FF117" s="230"/>
      <c r="FG117" s="230"/>
      <c r="FH117" s="230"/>
      <c r="FI117" s="230"/>
      <c r="FJ117" s="230"/>
      <c r="FK117" s="230"/>
      <c r="FL117" s="230"/>
      <c r="FM117" s="230"/>
      <c r="FN117" s="230"/>
      <c r="FO117" s="230"/>
      <c r="FP117" s="230"/>
      <c r="FQ117" s="230"/>
      <c r="FR117" s="230"/>
      <c r="FS117" s="230"/>
      <c r="FT117" s="230"/>
      <c r="FU117" s="230"/>
      <c r="FV117" s="230"/>
      <c r="FW117" s="230"/>
      <c r="FX117" s="230"/>
      <c r="FY117" s="230"/>
      <c r="FZ117" s="230"/>
      <c r="GA117" s="230"/>
      <c r="GB117" s="230"/>
      <c r="GC117" s="230"/>
      <c r="GD117" s="230"/>
      <c r="GE117" s="230"/>
      <c r="GF117" s="230"/>
      <c r="GG117" s="230"/>
      <c r="GH117" s="230"/>
      <c r="GI117" s="230"/>
      <c r="GJ117" s="230"/>
      <c r="GK117" s="230"/>
      <c r="GL117" s="230"/>
      <c r="GM117" s="230"/>
      <c r="GN117" s="230"/>
      <c r="GO117" s="230"/>
      <c r="GP117" s="230"/>
      <c r="GQ117" s="230"/>
      <c r="GR117" s="230"/>
      <c r="GS117" s="230"/>
      <c r="GT117" s="230"/>
      <c r="GU117" s="230"/>
      <c r="GV117" s="230"/>
      <c r="GW117" s="230"/>
      <c r="GX117" s="230"/>
      <c r="GY117" s="230"/>
      <c r="GZ117" s="230"/>
      <c r="HA117" s="230"/>
      <c r="HB117" s="230"/>
      <c r="HC117" s="230"/>
      <c r="HD117" s="230"/>
      <c r="HE117" s="230"/>
      <c r="HF117" s="230"/>
      <c r="HG117" s="230"/>
      <c r="HH117" s="230"/>
      <c r="HI117" s="230"/>
      <c r="HJ117" s="230"/>
      <c r="HK117" s="230"/>
      <c r="HL117" s="230"/>
      <c r="HM117" s="230"/>
      <c r="HN117" s="230"/>
      <c r="HO117" s="230"/>
      <c r="HP117" s="230"/>
      <c r="HQ117" s="230"/>
      <c r="HR117" s="230"/>
      <c r="HS117" s="230"/>
      <c r="HT117" s="230"/>
      <c r="HU117" s="230"/>
      <c r="HV117" s="230"/>
      <c r="HW117" s="230"/>
      <c r="HX117" s="230"/>
      <c r="HY117" s="230"/>
      <c r="HZ117" s="230"/>
      <c r="IA117" s="230"/>
      <c r="IB117" s="230"/>
      <c r="IC117" s="230"/>
      <c r="ID117" s="230"/>
      <c r="IE117" s="230"/>
      <c r="IF117" s="230"/>
      <c r="IG117" s="230"/>
      <c r="IH117" s="230"/>
      <c r="II117" s="230"/>
      <c r="IJ117" s="230"/>
      <c r="IK117" s="230"/>
      <c r="IL117" s="230"/>
      <c r="IM117" s="230"/>
      <c r="IN117" s="230"/>
      <c r="IO117" s="230"/>
      <c r="IP117" s="230"/>
    </row>
    <row r="118" spans="1:250" s="73" customFormat="1">
      <c r="A118" s="432" t="s">
        <v>1124</v>
      </c>
      <c r="B118" s="423">
        <v>82158</v>
      </c>
      <c r="C118" s="193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0"/>
      <c r="CH118" s="230"/>
      <c r="CI118" s="230"/>
      <c r="CJ118" s="230"/>
      <c r="CK118" s="230"/>
      <c r="CL118" s="230"/>
      <c r="CM118" s="230"/>
      <c r="CN118" s="230"/>
      <c r="CO118" s="230"/>
      <c r="CP118" s="230"/>
      <c r="CQ118" s="230"/>
      <c r="CR118" s="230"/>
      <c r="CS118" s="230"/>
      <c r="CT118" s="230"/>
      <c r="CU118" s="230"/>
      <c r="CV118" s="230"/>
      <c r="CW118" s="230"/>
      <c r="CX118" s="230"/>
      <c r="CY118" s="230"/>
      <c r="CZ118" s="230"/>
      <c r="DA118" s="230"/>
      <c r="DB118" s="230"/>
      <c r="DC118" s="230"/>
      <c r="DD118" s="230"/>
      <c r="DE118" s="230"/>
      <c r="DF118" s="230"/>
      <c r="DG118" s="230"/>
      <c r="DH118" s="230"/>
      <c r="DI118" s="230"/>
      <c r="DJ118" s="230"/>
      <c r="DK118" s="230"/>
      <c r="DL118" s="230"/>
      <c r="DM118" s="230"/>
      <c r="DN118" s="230"/>
      <c r="DO118" s="230"/>
      <c r="DP118" s="230"/>
      <c r="DQ118" s="230"/>
      <c r="DR118" s="230"/>
      <c r="DS118" s="230"/>
      <c r="DT118" s="230"/>
      <c r="DU118" s="230"/>
      <c r="DV118" s="230"/>
      <c r="DW118" s="230"/>
      <c r="DX118" s="230"/>
      <c r="DY118" s="230"/>
      <c r="DZ118" s="230"/>
      <c r="EA118" s="230"/>
      <c r="EB118" s="230"/>
      <c r="EC118" s="230"/>
      <c r="ED118" s="230"/>
      <c r="EE118" s="230"/>
      <c r="EF118" s="230"/>
      <c r="EG118" s="230"/>
      <c r="EH118" s="230"/>
      <c r="EI118" s="230"/>
      <c r="EJ118" s="230"/>
      <c r="EK118" s="230"/>
      <c r="EL118" s="230"/>
      <c r="EM118" s="230"/>
      <c r="EN118" s="230"/>
      <c r="EO118" s="230"/>
      <c r="EP118" s="230"/>
      <c r="EQ118" s="230"/>
      <c r="ER118" s="230"/>
      <c r="ES118" s="230"/>
      <c r="ET118" s="230"/>
      <c r="EU118" s="230"/>
      <c r="EV118" s="230"/>
      <c r="EW118" s="230"/>
      <c r="EX118" s="230"/>
      <c r="EY118" s="230"/>
      <c r="EZ118" s="230"/>
      <c r="FA118" s="230"/>
      <c r="FB118" s="230"/>
      <c r="FC118" s="230"/>
      <c r="FD118" s="230"/>
      <c r="FE118" s="230"/>
      <c r="FF118" s="230"/>
      <c r="FG118" s="230"/>
      <c r="FH118" s="230"/>
      <c r="FI118" s="230"/>
      <c r="FJ118" s="230"/>
      <c r="FK118" s="230"/>
      <c r="FL118" s="230"/>
      <c r="FM118" s="230"/>
      <c r="FN118" s="230"/>
      <c r="FO118" s="230"/>
      <c r="FP118" s="230"/>
      <c r="FQ118" s="230"/>
      <c r="FR118" s="230"/>
      <c r="FS118" s="230"/>
      <c r="FT118" s="230"/>
      <c r="FU118" s="230"/>
      <c r="FV118" s="230"/>
      <c r="FW118" s="230"/>
      <c r="FX118" s="230"/>
      <c r="FY118" s="230"/>
      <c r="FZ118" s="230"/>
      <c r="GA118" s="230"/>
      <c r="GB118" s="230"/>
      <c r="GC118" s="230"/>
      <c r="GD118" s="230"/>
      <c r="GE118" s="230"/>
      <c r="GF118" s="230"/>
      <c r="GG118" s="230"/>
      <c r="GH118" s="230"/>
      <c r="GI118" s="230"/>
      <c r="GJ118" s="230"/>
      <c r="GK118" s="230"/>
      <c r="GL118" s="230"/>
      <c r="GM118" s="230"/>
      <c r="GN118" s="230"/>
      <c r="GO118" s="230"/>
      <c r="GP118" s="230"/>
      <c r="GQ118" s="230"/>
      <c r="GR118" s="230"/>
      <c r="GS118" s="230"/>
      <c r="GT118" s="230"/>
      <c r="GU118" s="230"/>
      <c r="GV118" s="230"/>
      <c r="GW118" s="230"/>
      <c r="GX118" s="230"/>
      <c r="GY118" s="230"/>
      <c r="GZ118" s="230"/>
      <c r="HA118" s="230"/>
      <c r="HB118" s="230"/>
      <c r="HC118" s="230"/>
      <c r="HD118" s="230"/>
      <c r="HE118" s="230"/>
      <c r="HF118" s="230"/>
      <c r="HG118" s="230"/>
      <c r="HH118" s="230"/>
      <c r="HI118" s="230"/>
      <c r="HJ118" s="230"/>
      <c r="HK118" s="230"/>
      <c r="HL118" s="230"/>
      <c r="HM118" s="230"/>
      <c r="HN118" s="230"/>
      <c r="HO118" s="230"/>
      <c r="HP118" s="230"/>
      <c r="HQ118" s="230"/>
      <c r="HR118" s="230"/>
      <c r="HS118" s="230"/>
      <c r="HT118" s="230"/>
      <c r="HU118" s="230"/>
      <c r="HV118" s="230"/>
      <c r="HW118" s="230"/>
      <c r="HX118" s="230"/>
      <c r="HY118" s="230"/>
      <c r="HZ118" s="230"/>
      <c r="IA118" s="230"/>
      <c r="IB118" s="230"/>
      <c r="IC118" s="230"/>
      <c r="ID118" s="230"/>
      <c r="IE118" s="230"/>
      <c r="IF118" s="230"/>
      <c r="IG118" s="230"/>
      <c r="IH118" s="230"/>
      <c r="II118" s="230"/>
      <c r="IJ118" s="230"/>
      <c r="IK118" s="230"/>
      <c r="IL118" s="230"/>
      <c r="IM118" s="230"/>
      <c r="IN118" s="230"/>
      <c r="IO118" s="230"/>
      <c r="IP118" s="230"/>
    </row>
    <row r="119" spans="1:250" s="73" customFormat="1" ht="16.5" customHeight="1">
      <c r="A119" s="435" t="s">
        <v>1555</v>
      </c>
      <c r="B119" s="425">
        <f>B117</f>
        <v>445633.18000000005</v>
      </c>
      <c r="C119" s="193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  <c r="CF119" s="230"/>
      <c r="CG119" s="230"/>
      <c r="CH119" s="230"/>
      <c r="CI119" s="230"/>
      <c r="CJ119" s="230"/>
      <c r="CK119" s="230"/>
      <c r="CL119" s="230"/>
      <c r="CM119" s="230"/>
      <c r="CN119" s="230"/>
      <c r="CO119" s="230"/>
      <c r="CP119" s="230"/>
      <c r="CQ119" s="230"/>
      <c r="CR119" s="230"/>
      <c r="CS119" s="230"/>
      <c r="CT119" s="230"/>
      <c r="CU119" s="230"/>
      <c r="CV119" s="230"/>
      <c r="CW119" s="230"/>
      <c r="CX119" s="230"/>
      <c r="CY119" s="230"/>
      <c r="CZ119" s="230"/>
      <c r="DA119" s="230"/>
      <c r="DB119" s="230"/>
      <c r="DC119" s="230"/>
      <c r="DD119" s="230"/>
      <c r="DE119" s="230"/>
      <c r="DF119" s="230"/>
      <c r="DG119" s="230"/>
      <c r="DH119" s="230"/>
      <c r="DI119" s="230"/>
      <c r="DJ119" s="230"/>
      <c r="DK119" s="230"/>
      <c r="DL119" s="230"/>
      <c r="DM119" s="230"/>
      <c r="DN119" s="230"/>
      <c r="DO119" s="230"/>
      <c r="DP119" s="230"/>
      <c r="DQ119" s="230"/>
      <c r="DR119" s="230"/>
      <c r="DS119" s="230"/>
      <c r="DT119" s="230"/>
      <c r="DU119" s="230"/>
      <c r="DV119" s="230"/>
      <c r="DW119" s="230"/>
      <c r="DX119" s="230"/>
      <c r="DY119" s="230"/>
      <c r="DZ119" s="230"/>
      <c r="EA119" s="230"/>
      <c r="EB119" s="230"/>
      <c r="EC119" s="230"/>
      <c r="ED119" s="230"/>
      <c r="EE119" s="230"/>
      <c r="EF119" s="230"/>
      <c r="EG119" s="230"/>
      <c r="EH119" s="230"/>
      <c r="EI119" s="230"/>
      <c r="EJ119" s="230"/>
      <c r="EK119" s="230"/>
      <c r="EL119" s="230"/>
      <c r="EM119" s="230"/>
      <c r="EN119" s="230"/>
      <c r="EO119" s="230"/>
      <c r="EP119" s="230"/>
      <c r="EQ119" s="230"/>
      <c r="ER119" s="230"/>
      <c r="ES119" s="230"/>
      <c r="ET119" s="230"/>
      <c r="EU119" s="230"/>
      <c r="EV119" s="230"/>
      <c r="EW119" s="230"/>
      <c r="EX119" s="230"/>
      <c r="EY119" s="230"/>
      <c r="EZ119" s="230"/>
      <c r="FA119" s="230"/>
      <c r="FB119" s="230"/>
      <c r="FC119" s="230"/>
      <c r="FD119" s="230"/>
      <c r="FE119" s="230"/>
      <c r="FF119" s="230"/>
      <c r="FG119" s="230"/>
      <c r="FH119" s="230"/>
      <c r="FI119" s="230"/>
      <c r="FJ119" s="230"/>
      <c r="FK119" s="230"/>
      <c r="FL119" s="230"/>
      <c r="FM119" s="230"/>
      <c r="FN119" s="230"/>
      <c r="FO119" s="230"/>
      <c r="FP119" s="230"/>
      <c r="FQ119" s="230"/>
      <c r="FR119" s="230"/>
      <c r="FS119" s="230"/>
      <c r="FT119" s="230"/>
      <c r="FU119" s="230"/>
      <c r="FV119" s="230"/>
      <c r="FW119" s="230"/>
      <c r="FX119" s="230"/>
      <c r="FY119" s="230"/>
      <c r="FZ119" s="230"/>
      <c r="GA119" s="230"/>
      <c r="GB119" s="230"/>
      <c r="GC119" s="230"/>
      <c r="GD119" s="230"/>
      <c r="GE119" s="230"/>
      <c r="GF119" s="230"/>
      <c r="GG119" s="230"/>
      <c r="GH119" s="230"/>
      <c r="GI119" s="230"/>
      <c r="GJ119" s="230"/>
      <c r="GK119" s="230"/>
      <c r="GL119" s="230"/>
      <c r="GM119" s="230"/>
      <c r="GN119" s="230"/>
      <c r="GO119" s="230"/>
      <c r="GP119" s="230"/>
      <c r="GQ119" s="230"/>
      <c r="GR119" s="230"/>
      <c r="GS119" s="230"/>
      <c r="GT119" s="230"/>
      <c r="GU119" s="230"/>
      <c r="GV119" s="230"/>
      <c r="GW119" s="230"/>
      <c r="GX119" s="230"/>
      <c r="GY119" s="230"/>
      <c r="GZ119" s="230"/>
      <c r="HA119" s="230"/>
      <c r="HB119" s="230"/>
      <c r="HC119" s="230"/>
      <c r="HD119" s="230"/>
      <c r="HE119" s="230"/>
      <c r="HF119" s="230"/>
      <c r="HG119" s="230"/>
      <c r="HH119" s="230"/>
      <c r="HI119" s="230"/>
      <c r="HJ119" s="230"/>
      <c r="HK119" s="230"/>
      <c r="HL119" s="230"/>
      <c r="HM119" s="230"/>
      <c r="HN119" s="230"/>
      <c r="HO119" s="230"/>
      <c r="HP119" s="230"/>
      <c r="HQ119" s="230"/>
      <c r="HR119" s="230"/>
      <c r="HS119" s="230"/>
      <c r="HT119" s="230"/>
      <c r="HU119" s="230"/>
      <c r="HV119" s="230"/>
      <c r="HW119" s="230"/>
      <c r="HX119" s="230"/>
      <c r="HY119" s="230"/>
      <c r="HZ119" s="230"/>
      <c r="IA119" s="230"/>
      <c r="IB119" s="230"/>
      <c r="IC119" s="230"/>
      <c r="ID119" s="230"/>
      <c r="IE119" s="230"/>
      <c r="IF119" s="230"/>
      <c r="IG119" s="230"/>
      <c r="IH119" s="230"/>
      <c r="II119" s="230"/>
      <c r="IJ119" s="230"/>
      <c r="IK119" s="230"/>
      <c r="IL119" s="230"/>
      <c r="IM119" s="230"/>
      <c r="IN119" s="230"/>
      <c r="IO119" s="230"/>
      <c r="IP119" s="230"/>
    </row>
    <row r="120" spans="1:250" s="73" customFormat="1">
      <c r="A120" s="432"/>
      <c r="B120" s="230"/>
      <c r="C120" s="193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0"/>
      <c r="AT120" s="230"/>
      <c r="AU120" s="230"/>
      <c r="AV120" s="230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0"/>
      <c r="BW120" s="230"/>
      <c r="BX120" s="230"/>
      <c r="BY120" s="230"/>
      <c r="BZ120" s="230"/>
      <c r="CA120" s="230"/>
      <c r="CB120" s="230"/>
      <c r="CC120" s="230"/>
      <c r="CD120" s="230"/>
      <c r="CE120" s="230"/>
      <c r="CF120" s="230"/>
      <c r="CG120" s="230"/>
      <c r="CH120" s="230"/>
      <c r="CI120" s="230"/>
      <c r="CJ120" s="230"/>
      <c r="CK120" s="230"/>
      <c r="CL120" s="230"/>
      <c r="CM120" s="230"/>
      <c r="CN120" s="230"/>
      <c r="CO120" s="230"/>
      <c r="CP120" s="230"/>
      <c r="CQ120" s="230"/>
      <c r="CR120" s="230"/>
      <c r="CS120" s="230"/>
      <c r="CT120" s="230"/>
      <c r="CU120" s="230"/>
      <c r="CV120" s="230"/>
      <c r="CW120" s="230"/>
      <c r="CX120" s="230"/>
      <c r="CY120" s="230"/>
      <c r="CZ120" s="230"/>
      <c r="DA120" s="230"/>
      <c r="DB120" s="230"/>
      <c r="DC120" s="230"/>
      <c r="DD120" s="230"/>
      <c r="DE120" s="230"/>
      <c r="DF120" s="230"/>
      <c r="DG120" s="230"/>
      <c r="DH120" s="230"/>
      <c r="DI120" s="230"/>
      <c r="DJ120" s="230"/>
      <c r="DK120" s="230"/>
      <c r="DL120" s="230"/>
      <c r="DM120" s="230"/>
      <c r="DN120" s="230"/>
      <c r="DO120" s="230"/>
      <c r="DP120" s="230"/>
      <c r="DQ120" s="230"/>
      <c r="DR120" s="230"/>
      <c r="DS120" s="230"/>
      <c r="DT120" s="230"/>
      <c r="DU120" s="230"/>
      <c r="DV120" s="230"/>
      <c r="DW120" s="230"/>
      <c r="DX120" s="230"/>
      <c r="DY120" s="230"/>
      <c r="DZ120" s="230"/>
      <c r="EA120" s="230"/>
      <c r="EB120" s="230"/>
      <c r="EC120" s="230"/>
      <c r="ED120" s="230"/>
      <c r="EE120" s="230"/>
      <c r="EF120" s="230"/>
      <c r="EG120" s="230"/>
      <c r="EH120" s="230"/>
      <c r="EI120" s="230"/>
      <c r="EJ120" s="230"/>
      <c r="EK120" s="230"/>
      <c r="EL120" s="230"/>
      <c r="EM120" s="230"/>
      <c r="EN120" s="230"/>
      <c r="EO120" s="230"/>
      <c r="EP120" s="230"/>
      <c r="EQ120" s="230"/>
      <c r="ER120" s="230"/>
      <c r="ES120" s="230"/>
      <c r="ET120" s="230"/>
      <c r="EU120" s="230"/>
      <c r="EV120" s="230"/>
      <c r="EW120" s="230"/>
      <c r="EX120" s="230"/>
      <c r="EY120" s="230"/>
      <c r="EZ120" s="230"/>
      <c r="FA120" s="230"/>
      <c r="FB120" s="230"/>
      <c r="FC120" s="230"/>
      <c r="FD120" s="230"/>
      <c r="FE120" s="230"/>
      <c r="FF120" s="230"/>
      <c r="FG120" s="230"/>
      <c r="FH120" s="230"/>
      <c r="FI120" s="230"/>
      <c r="FJ120" s="230"/>
      <c r="FK120" s="230"/>
      <c r="FL120" s="230"/>
      <c r="FM120" s="230"/>
      <c r="FN120" s="230"/>
      <c r="FO120" s="230"/>
      <c r="FP120" s="230"/>
      <c r="FQ120" s="230"/>
      <c r="FR120" s="230"/>
      <c r="FS120" s="230"/>
      <c r="FT120" s="230"/>
      <c r="FU120" s="230"/>
      <c r="FV120" s="230"/>
      <c r="FW120" s="230"/>
      <c r="FX120" s="230"/>
      <c r="FY120" s="230"/>
      <c r="FZ120" s="230"/>
      <c r="GA120" s="230"/>
      <c r="GB120" s="230"/>
      <c r="GC120" s="230"/>
      <c r="GD120" s="230"/>
      <c r="GE120" s="230"/>
      <c r="GF120" s="230"/>
      <c r="GG120" s="230"/>
      <c r="GH120" s="230"/>
      <c r="GI120" s="230"/>
      <c r="GJ120" s="230"/>
      <c r="GK120" s="230"/>
      <c r="GL120" s="230"/>
      <c r="GM120" s="230"/>
      <c r="GN120" s="230"/>
      <c r="GO120" s="230"/>
      <c r="GP120" s="230"/>
      <c r="GQ120" s="230"/>
      <c r="GR120" s="230"/>
      <c r="GS120" s="230"/>
      <c r="GT120" s="230"/>
      <c r="GU120" s="230"/>
      <c r="GV120" s="230"/>
      <c r="GW120" s="230"/>
      <c r="GX120" s="230"/>
      <c r="GY120" s="230"/>
      <c r="GZ120" s="230"/>
      <c r="HA120" s="230"/>
      <c r="HB120" s="230"/>
      <c r="HC120" s="230"/>
      <c r="HD120" s="230"/>
      <c r="HE120" s="230"/>
      <c r="HF120" s="230"/>
      <c r="HG120" s="230"/>
      <c r="HH120" s="230"/>
      <c r="HI120" s="230"/>
      <c r="HJ120" s="230"/>
      <c r="HK120" s="230"/>
      <c r="HL120" s="230"/>
      <c r="HM120" s="230"/>
      <c r="HN120" s="230"/>
      <c r="HO120" s="230"/>
      <c r="HP120" s="230"/>
      <c r="HQ120" s="230"/>
      <c r="HR120" s="230"/>
      <c r="HS120" s="230"/>
      <c r="HT120" s="230"/>
      <c r="HU120" s="230"/>
      <c r="HV120" s="230"/>
      <c r="HW120" s="230"/>
      <c r="HX120" s="230"/>
      <c r="HY120" s="230"/>
      <c r="HZ120" s="230"/>
      <c r="IA120" s="230"/>
      <c r="IB120" s="230"/>
      <c r="IC120" s="230"/>
      <c r="ID120" s="230"/>
      <c r="IE120" s="230"/>
      <c r="IF120" s="230"/>
      <c r="IG120" s="230"/>
      <c r="IH120" s="230"/>
      <c r="II120" s="230"/>
      <c r="IJ120" s="230"/>
      <c r="IK120" s="230"/>
      <c r="IL120" s="230"/>
      <c r="IM120" s="230"/>
      <c r="IN120" s="230"/>
      <c r="IO120" s="230"/>
      <c r="IP120" s="230"/>
    </row>
    <row r="121" spans="1:250" s="73" customFormat="1">
      <c r="A121" s="431" t="s">
        <v>1130</v>
      </c>
      <c r="B121" s="436">
        <f>B123+B125+B126+B127+B128+B130+B133+B131+B132+B124</f>
        <v>473359.37301791587</v>
      </c>
      <c r="C121" s="193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0"/>
      <c r="BY121" s="230"/>
      <c r="BZ121" s="230"/>
      <c r="CA121" s="230"/>
      <c r="CB121" s="230"/>
      <c r="CC121" s="230"/>
      <c r="CD121" s="230"/>
      <c r="CE121" s="230"/>
      <c r="CF121" s="230"/>
      <c r="CG121" s="230"/>
      <c r="CH121" s="230"/>
      <c r="CI121" s="230"/>
      <c r="CJ121" s="230"/>
      <c r="CK121" s="230"/>
      <c r="CL121" s="230"/>
      <c r="CM121" s="230"/>
      <c r="CN121" s="230"/>
      <c r="CO121" s="230"/>
      <c r="CP121" s="230"/>
      <c r="CQ121" s="230"/>
      <c r="CR121" s="230"/>
      <c r="CS121" s="230"/>
      <c r="CT121" s="230"/>
      <c r="CU121" s="230"/>
      <c r="CV121" s="230"/>
      <c r="CW121" s="230"/>
      <c r="CX121" s="230"/>
      <c r="CY121" s="230"/>
      <c r="CZ121" s="230"/>
      <c r="DA121" s="230"/>
      <c r="DB121" s="230"/>
      <c r="DC121" s="230"/>
      <c r="DD121" s="230"/>
      <c r="DE121" s="230"/>
      <c r="DF121" s="230"/>
      <c r="DG121" s="230"/>
      <c r="DH121" s="230"/>
      <c r="DI121" s="230"/>
      <c r="DJ121" s="230"/>
      <c r="DK121" s="230"/>
      <c r="DL121" s="230"/>
      <c r="DM121" s="230"/>
      <c r="DN121" s="230"/>
      <c r="DO121" s="230"/>
      <c r="DP121" s="230"/>
      <c r="DQ121" s="230"/>
      <c r="DR121" s="230"/>
      <c r="DS121" s="230"/>
      <c r="DT121" s="230"/>
      <c r="DU121" s="230"/>
      <c r="DV121" s="230"/>
      <c r="DW121" s="230"/>
      <c r="DX121" s="230"/>
      <c r="DY121" s="230"/>
      <c r="DZ121" s="230"/>
      <c r="EA121" s="230"/>
      <c r="EB121" s="230"/>
      <c r="EC121" s="230"/>
      <c r="ED121" s="230"/>
      <c r="EE121" s="230"/>
      <c r="EF121" s="230"/>
      <c r="EG121" s="230"/>
      <c r="EH121" s="230"/>
      <c r="EI121" s="230"/>
      <c r="EJ121" s="230"/>
      <c r="EK121" s="230"/>
      <c r="EL121" s="230"/>
      <c r="EM121" s="230"/>
      <c r="EN121" s="230"/>
      <c r="EO121" s="230"/>
      <c r="EP121" s="230"/>
      <c r="EQ121" s="230"/>
      <c r="ER121" s="230"/>
      <c r="ES121" s="230"/>
      <c r="ET121" s="230"/>
      <c r="EU121" s="230"/>
      <c r="EV121" s="230"/>
      <c r="EW121" s="230"/>
      <c r="EX121" s="230"/>
      <c r="EY121" s="230"/>
      <c r="EZ121" s="230"/>
      <c r="FA121" s="230"/>
      <c r="FB121" s="230"/>
      <c r="FC121" s="230"/>
      <c r="FD121" s="230"/>
      <c r="FE121" s="230"/>
      <c r="FF121" s="230"/>
      <c r="FG121" s="230"/>
      <c r="FH121" s="230"/>
      <c r="FI121" s="230"/>
      <c r="FJ121" s="230"/>
      <c r="FK121" s="230"/>
      <c r="FL121" s="230"/>
      <c r="FM121" s="230"/>
      <c r="FN121" s="230"/>
      <c r="FO121" s="230"/>
      <c r="FP121" s="230"/>
      <c r="FQ121" s="230"/>
      <c r="FR121" s="230"/>
      <c r="FS121" s="230"/>
      <c r="FT121" s="230"/>
      <c r="FU121" s="230"/>
      <c r="FV121" s="230"/>
      <c r="FW121" s="230"/>
      <c r="FX121" s="230"/>
      <c r="FY121" s="230"/>
      <c r="FZ121" s="230"/>
      <c r="GA121" s="230"/>
      <c r="GB121" s="230"/>
      <c r="GC121" s="230"/>
      <c r="GD121" s="230"/>
      <c r="GE121" s="230"/>
      <c r="GF121" s="230"/>
      <c r="GG121" s="230"/>
      <c r="GH121" s="230"/>
      <c r="GI121" s="230"/>
      <c r="GJ121" s="230"/>
      <c r="GK121" s="230"/>
      <c r="GL121" s="230"/>
      <c r="GM121" s="230"/>
      <c r="GN121" s="230"/>
      <c r="GO121" s="230"/>
      <c r="GP121" s="230"/>
      <c r="GQ121" s="230"/>
      <c r="GR121" s="230"/>
      <c r="GS121" s="230"/>
      <c r="GT121" s="230"/>
      <c r="GU121" s="230"/>
      <c r="GV121" s="230"/>
      <c r="GW121" s="230"/>
      <c r="GX121" s="230"/>
      <c r="GY121" s="230"/>
      <c r="GZ121" s="230"/>
      <c r="HA121" s="230"/>
      <c r="HB121" s="230"/>
      <c r="HC121" s="230"/>
      <c r="HD121" s="230"/>
      <c r="HE121" s="230"/>
      <c r="HF121" s="230"/>
      <c r="HG121" s="230"/>
      <c r="HH121" s="230"/>
      <c r="HI121" s="230"/>
      <c r="HJ121" s="230"/>
      <c r="HK121" s="230"/>
      <c r="HL121" s="230"/>
      <c r="HM121" s="230"/>
      <c r="HN121" s="230"/>
      <c r="HO121" s="230"/>
      <c r="HP121" s="230"/>
      <c r="HQ121" s="230"/>
      <c r="HR121" s="230"/>
      <c r="HS121" s="230"/>
      <c r="HT121" s="230"/>
      <c r="HU121" s="230"/>
      <c r="HV121" s="230"/>
      <c r="HW121" s="230"/>
      <c r="HX121" s="230"/>
      <c r="HY121" s="230"/>
      <c r="HZ121" s="230"/>
      <c r="IA121" s="230"/>
      <c r="IB121" s="230"/>
      <c r="IC121" s="230"/>
      <c r="ID121" s="230"/>
      <c r="IE121" s="230"/>
      <c r="IF121" s="230"/>
      <c r="IG121" s="230"/>
      <c r="IH121" s="230"/>
      <c r="II121" s="230"/>
      <c r="IJ121" s="230"/>
      <c r="IK121" s="230"/>
      <c r="IL121" s="230"/>
      <c r="IM121" s="230"/>
      <c r="IN121" s="230"/>
      <c r="IO121" s="230"/>
      <c r="IP121" s="230"/>
    </row>
    <row r="122" spans="1:250" s="73" customFormat="1">
      <c r="A122" s="432" t="s">
        <v>599</v>
      </c>
      <c r="B122" s="423"/>
      <c r="C122" s="193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/>
      <c r="BY122" s="230"/>
      <c r="BZ122" s="230"/>
      <c r="CA122" s="230"/>
      <c r="CB122" s="230"/>
      <c r="CC122" s="230"/>
      <c r="CD122" s="230"/>
      <c r="CE122" s="230"/>
      <c r="CF122" s="230"/>
      <c r="CG122" s="230"/>
      <c r="CH122" s="230"/>
      <c r="CI122" s="230"/>
      <c r="CJ122" s="230"/>
      <c r="CK122" s="230"/>
      <c r="CL122" s="230"/>
      <c r="CM122" s="230"/>
      <c r="CN122" s="230"/>
      <c r="CO122" s="230"/>
      <c r="CP122" s="230"/>
      <c r="CQ122" s="230"/>
      <c r="CR122" s="230"/>
      <c r="CS122" s="230"/>
      <c r="CT122" s="230"/>
      <c r="CU122" s="230"/>
      <c r="CV122" s="230"/>
      <c r="CW122" s="230"/>
      <c r="CX122" s="230"/>
      <c r="CY122" s="230"/>
      <c r="CZ122" s="230"/>
      <c r="DA122" s="230"/>
      <c r="DB122" s="230"/>
      <c r="DC122" s="230"/>
      <c r="DD122" s="230"/>
      <c r="DE122" s="230"/>
      <c r="DF122" s="230"/>
      <c r="DG122" s="230"/>
      <c r="DH122" s="230"/>
      <c r="DI122" s="230"/>
      <c r="DJ122" s="230"/>
      <c r="DK122" s="230"/>
      <c r="DL122" s="230"/>
      <c r="DM122" s="230"/>
      <c r="DN122" s="230"/>
      <c r="DO122" s="230"/>
      <c r="DP122" s="230"/>
      <c r="DQ122" s="230"/>
      <c r="DR122" s="230"/>
      <c r="DS122" s="230"/>
      <c r="DT122" s="230"/>
      <c r="DU122" s="230"/>
      <c r="DV122" s="230"/>
      <c r="DW122" s="230"/>
      <c r="DX122" s="230"/>
      <c r="DY122" s="230"/>
      <c r="DZ122" s="230"/>
      <c r="EA122" s="230"/>
      <c r="EB122" s="230"/>
      <c r="EC122" s="230"/>
      <c r="ED122" s="230"/>
      <c r="EE122" s="230"/>
      <c r="EF122" s="230"/>
      <c r="EG122" s="230"/>
      <c r="EH122" s="230"/>
      <c r="EI122" s="230"/>
      <c r="EJ122" s="230"/>
      <c r="EK122" s="230"/>
      <c r="EL122" s="230"/>
      <c r="EM122" s="230"/>
      <c r="EN122" s="230"/>
      <c r="EO122" s="230"/>
      <c r="EP122" s="230"/>
      <c r="EQ122" s="230"/>
      <c r="ER122" s="230"/>
      <c r="ES122" s="230"/>
      <c r="ET122" s="230"/>
      <c r="EU122" s="230"/>
      <c r="EV122" s="230"/>
      <c r="EW122" s="230"/>
      <c r="EX122" s="230"/>
      <c r="EY122" s="230"/>
      <c r="EZ122" s="230"/>
      <c r="FA122" s="230"/>
      <c r="FB122" s="230"/>
      <c r="FC122" s="230"/>
      <c r="FD122" s="230"/>
      <c r="FE122" s="230"/>
      <c r="FF122" s="230"/>
      <c r="FG122" s="230"/>
      <c r="FH122" s="230"/>
      <c r="FI122" s="230"/>
      <c r="FJ122" s="230"/>
      <c r="FK122" s="230"/>
      <c r="FL122" s="230"/>
      <c r="FM122" s="230"/>
      <c r="FN122" s="230"/>
      <c r="FO122" s="230"/>
      <c r="FP122" s="230"/>
      <c r="FQ122" s="230"/>
      <c r="FR122" s="230"/>
      <c r="FS122" s="230"/>
      <c r="FT122" s="230"/>
      <c r="FU122" s="230"/>
      <c r="FV122" s="230"/>
      <c r="FW122" s="230"/>
      <c r="FX122" s="230"/>
      <c r="FY122" s="230"/>
      <c r="FZ122" s="230"/>
      <c r="GA122" s="230"/>
      <c r="GB122" s="230"/>
      <c r="GC122" s="230"/>
      <c r="GD122" s="230"/>
      <c r="GE122" s="230"/>
      <c r="GF122" s="230"/>
      <c r="GG122" s="230"/>
      <c r="GH122" s="230"/>
      <c r="GI122" s="230"/>
      <c r="GJ122" s="230"/>
      <c r="GK122" s="230"/>
      <c r="GL122" s="230"/>
      <c r="GM122" s="230"/>
      <c r="GN122" s="230"/>
      <c r="GO122" s="230"/>
      <c r="GP122" s="230"/>
      <c r="GQ122" s="230"/>
      <c r="GR122" s="230"/>
      <c r="GS122" s="230"/>
      <c r="GT122" s="230"/>
      <c r="GU122" s="230"/>
      <c r="GV122" s="230"/>
      <c r="GW122" s="230"/>
      <c r="GX122" s="230"/>
      <c r="GY122" s="230"/>
      <c r="GZ122" s="230"/>
      <c r="HA122" s="230"/>
      <c r="HB122" s="230"/>
      <c r="HC122" s="230"/>
      <c r="HD122" s="230"/>
      <c r="HE122" s="230"/>
      <c r="HF122" s="230"/>
      <c r="HG122" s="230"/>
      <c r="HH122" s="230"/>
      <c r="HI122" s="230"/>
      <c r="HJ122" s="230"/>
      <c r="HK122" s="230"/>
      <c r="HL122" s="230"/>
      <c r="HM122" s="230"/>
      <c r="HN122" s="230"/>
      <c r="HO122" s="230"/>
      <c r="HP122" s="230"/>
      <c r="HQ122" s="230"/>
      <c r="HR122" s="230"/>
      <c r="HS122" s="230"/>
      <c r="HT122" s="230"/>
      <c r="HU122" s="230"/>
      <c r="HV122" s="230"/>
      <c r="HW122" s="230"/>
      <c r="HX122" s="230"/>
      <c r="HY122" s="230"/>
      <c r="HZ122" s="230"/>
      <c r="IA122" s="230"/>
      <c r="IB122" s="230"/>
      <c r="IC122" s="230"/>
      <c r="ID122" s="230"/>
      <c r="IE122" s="230"/>
      <c r="IF122" s="230"/>
      <c r="IG122" s="230"/>
      <c r="IH122" s="230"/>
      <c r="II122" s="230"/>
      <c r="IJ122" s="230"/>
      <c r="IK122" s="230"/>
      <c r="IL122" s="230"/>
      <c r="IM122" s="230"/>
      <c r="IN122" s="230"/>
      <c r="IO122" s="230"/>
      <c r="IP122" s="230"/>
    </row>
    <row r="123" spans="1:250" s="73" customFormat="1">
      <c r="A123" s="432" t="s">
        <v>521</v>
      </c>
      <c r="B123" s="421">
        <f>959300/45797.5*B111*1.27</f>
        <v>32890.872217915829</v>
      </c>
      <c r="C123" s="193">
        <f>ROUND(B123/B111/12,2)</f>
        <v>2.2200000000000002</v>
      </c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  <c r="CF123" s="230"/>
      <c r="CG123" s="230"/>
      <c r="CH123" s="230"/>
      <c r="CI123" s="230"/>
      <c r="CJ123" s="230"/>
      <c r="CK123" s="230"/>
      <c r="CL123" s="230"/>
      <c r="CM123" s="230"/>
      <c r="CN123" s="230"/>
      <c r="CO123" s="230"/>
      <c r="CP123" s="230"/>
      <c r="CQ123" s="230"/>
      <c r="CR123" s="230"/>
      <c r="CS123" s="230"/>
      <c r="CT123" s="230"/>
      <c r="CU123" s="230"/>
      <c r="CV123" s="230"/>
      <c r="CW123" s="230"/>
      <c r="CX123" s="230"/>
      <c r="CY123" s="230"/>
      <c r="CZ123" s="230"/>
      <c r="DA123" s="230"/>
      <c r="DB123" s="230"/>
      <c r="DC123" s="230"/>
      <c r="DD123" s="230"/>
      <c r="DE123" s="230"/>
      <c r="DF123" s="230"/>
      <c r="DG123" s="230"/>
      <c r="DH123" s="230"/>
      <c r="DI123" s="230"/>
      <c r="DJ123" s="230"/>
      <c r="DK123" s="230"/>
      <c r="DL123" s="230"/>
      <c r="DM123" s="230"/>
      <c r="DN123" s="230"/>
      <c r="DO123" s="230"/>
      <c r="DP123" s="230"/>
      <c r="DQ123" s="230"/>
      <c r="DR123" s="230"/>
      <c r="DS123" s="230"/>
      <c r="DT123" s="230"/>
      <c r="DU123" s="230"/>
      <c r="DV123" s="230"/>
      <c r="DW123" s="230"/>
      <c r="DX123" s="230"/>
      <c r="DY123" s="230"/>
      <c r="DZ123" s="230"/>
      <c r="EA123" s="230"/>
      <c r="EB123" s="230"/>
      <c r="EC123" s="230"/>
      <c r="ED123" s="230"/>
      <c r="EE123" s="230"/>
      <c r="EF123" s="230"/>
      <c r="EG123" s="230"/>
      <c r="EH123" s="230"/>
      <c r="EI123" s="230"/>
      <c r="EJ123" s="230"/>
      <c r="EK123" s="230"/>
      <c r="EL123" s="230"/>
      <c r="EM123" s="230"/>
      <c r="EN123" s="230"/>
      <c r="EO123" s="230"/>
      <c r="EP123" s="230"/>
      <c r="EQ123" s="230"/>
      <c r="ER123" s="230"/>
      <c r="ES123" s="230"/>
      <c r="ET123" s="230"/>
      <c r="EU123" s="230"/>
      <c r="EV123" s="230"/>
      <c r="EW123" s="230"/>
      <c r="EX123" s="230"/>
      <c r="EY123" s="230"/>
      <c r="EZ123" s="230"/>
      <c r="FA123" s="230"/>
      <c r="FB123" s="230"/>
      <c r="FC123" s="230"/>
      <c r="FD123" s="230"/>
      <c r="FE123" s="230"/>
      <c r="FF123" s="230"/>
      <c r="FG123" s="230"/>
      <c r="FH123" s="230"/>
      <c r="FI123" s="230"/>
      <c r="FJ123" s="230"/>
      <c r="FK123" s="230"/>
      <c r="FL123" s="230"/>
      <c r="FM123" s="230"/>
      <c r="FN123" s="230"/>
      <c r="FO123" s="230"/>
      <c r="FP123" s="230"/>
      <c r="FQ123" s="230"/>
      <c r="FR123" s="230"/>
      <c r="FS123" s="230"/>
      <c r="FT123" s="230"/>
      <c r="FU123" s="230"/>
      <c r="FV123" s="230"/>
      <c r="FW123" s="230"/>
      <c r="FX123" s="230"/>
      <c r="FY123" s="230"/>
      <c r="FZ123" s="230"/>
      <c r="GA123" s="230"/>
      <c r="GB123" s="230"/>
      <c r="GC123" s="230"/>
      <c r="GD123" s="230"/>
      <c r="GE123" s="230"/>
      <c r="GF123" s="230"/>
      <c r="GG123" s="230"/>
      <c r="GH123" s="230"/>
      <c r="GI123" s="230"/>
      <c r="GJ123" s="230"/>
      <c r="GK123" s="230"/>
      <c r="GL123" s="230"/>
      <c r="GM123" s="230"/>
      <c r="GN123" s="230"/>
      <c r="GO123" s="230"/>
      <c r="GP123" s="230"/>
      <c r="GQ123" s="230"/>
      <c r="GR123" s="230"/>
      <c r="GS123" s="230"/>
      <c r="GT123" s="230"/>
      <c r="GU123" s="230"/>
      <c r="GV123" s="230"/>
      <c r="GW123" s="230"/>
      <c r="GX123" s="230"/>
      <c r="GY123" s="230"/>
      <c r="GZ123" s="230"/>
      <c r="HA123" s="230"/>
      <c r="HB123" s="230"/>
      <c r="HC123" s="230"/>
      <c r="HD123" s="230"/>
      <c r="HE123" s="230"/>
      <c r="HF123" s="230"/>
      <c r="HG123" s="230"/>
      <c r="HH123" s="230"/>
      <c r="HI123" s="230"/>
      <c r="HJ123" s="230"/>
      <c r="HK123" s="230"/>
      <c r="HL123" s="230"/>
      <c r="HM123" s="230"/>
      <c r="HN123" s="230"/>
      <c r="HO123" s="230"/>
      <c r="HP123" s="230"/>
      <c r="HQ123" s="230"/>
      <c r="HR123" s="230"/>
      <c r="HS123" s="230"/>
      <c r="HT123" s="230"/>
      <c r="HU123" s="230"/>
      <c r="HV123" s="230"/>
      <c r="HW123" s="230"/>
      <c r="HX123" s="230"/>
      <c r="HY123" s="230"/>
      <c r="HZ123" s="230"/>
      <c r="IA123" s="230"/>
      <c r="IB123" s="230"/>
      <c r="IC123" s="230"/>
      <c r="ID123" s="230"/>
      <c r="IE123" s="230"/>
      <c r="IF123" s="230"/>
      <c r="IG123" s="230"/>
      <c r="IH123" s="230"/>
      <c r="II123" s="230"/>
      <c r="IJ123" s="230"/>
      <c r="IK123" s="230"/>
      <c r="IL123" s="230"/>
      <c r="IM123" s="230"/>
      <c r="IN123" s="230"/>
      <c r="IO123" s="230"/>
      <c r="IP123" s="230"/>
    </row>
    <row r="124" spans="1:250" s="73" customFormat="1">
      <c r="A124" s="432" t="s">
        <v>1570</v>
      </c>
      <c r="B124" s="421">
        <f>217498*1.27</f>
        <v>276222.46000000002</v>
      </c>
      <c r="C124" s="193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0"/>
      <c r="AH124" s="230"/>
      <c r="AI124" s="230"/>
      <c r="AJ124" s="230"/>
      <c r="AK124" s="230"/>
      <c r="AL124" s="230"/>
      <c r="AM124" s="230"/>
      <c r="AN124" s="230"/>
      <c r="AO124" s="230"/>
      <c r="AP124" s="230"/>
      <c r="AQ124" s="230"/>
      <c r="AR124" s="230"/>
      <c r="AS124" s="230"/>
      <c r="AT124" s="230"/>
      <c r="AU124" s="230"/>
      <c r="AV124" s="230"/>
      <c r="AW124" s="230"/>
      <c r="AX124" s="230"/>
      <c r="AY124" s="230"/>
      <c r="AZ124" s="230"/>
      <c r="BA124" s="230"/>
      <c r="BB124" s="230"/>
      <c r="BC124" s="230"/>
      <c r="BD124" s="230"/>
      <c r="BE124" s="230"/>
      <c r="BF124" s="230"/>
      <c r="BG124" s="230"/>
      <c r="BH124" s="230"/>
      <c r="BI124" s="230"/>
      <c r="BJ124" s="230"/>
      <c r="BK124" s="230"/>
      <c r="BL124" s="230"/>
      <c r="BM124" s="230"/>
      <c r="BN124" s="230"/>
      <c r="BO124" s="230"/>
      <c r="BP124" s="230"/>
      <c r="BQ124" s="230"/>
      <c r="BR124" s="230"/>
      <c r="BS124" s="230"/>
      <c r="BT124" s="230"/>
      <c r="BU124" s="230"/>
      <c r="BV124" s="230"/>
      <c r="BW124" s="230"/>
      <c r="BX124" s="230"/>
      <c r="BY124" s="230"/>
      <c r="BZ124" s="230"/>
      <c r="CA124" s="230"/>
      <c r="CB124" s="230"/>
      <c r="CC124" s="230"/>
      <c r="CD124" s="230"/>
      <c r="CE124" s="230"/>
      <c r="CF124" s="230"/>
      <c r="CG124" s="230"/>
      <c r="CH124" s="230"/>
      <c r="CI124" s="230"/>
      <c r="CJ124" s="230"/>
      <c r="CK124" s="230"/>
      <c r="CL124" s="230"/>
      <c r="CM124" s="230"/>
      <c r="CN124" s="230"/>
      <c r="CO124" s="230"/>
      <c r="CP124" s="230"/>
      <c r="CQ124" s="230"/>
      <c r="CR124" s="230"/>
      <c r="CS124" s="230"/>
      <c r="CT124" s="230"/>
      <c r="CU124" s="230"/>
      <c r="CV124" s="230"/>
      <c r="CW124" s="230"/>
      <c r="CX124" s="230"/>
      <c r="CY124" s="230"/>
      <c r="CZ124" s="230"/>
      <c r="DA124" s="230"/>
      <c r="DB124" s="230"/>
      <c r="DC124" s="230"/>
      <c r="DD124" s="230"/>
      <c r="DE124" s="230"/>
      <c r="DF124" s="230"/>
      <c r="DG124" s="230"/>
      <c r="DH124" s="230"/>
      <c r="DI124" s="230"/>
      <c r="DJ124" s="230"/>
      <c r="DK124" s="230"/>
      <c r="DL124" s="230"/>
      <c r="DM124" s="230"/>
      <c r="DN124" s="230"/>
      <c r="DO124" s="230"/>
      <c r="DP124" s="230"/>
      <c r="DQ124" s="230"/>
      <c r="DR124" s="230"/>
      <c r="DS124" s="230"/>
      <c r="DT124" s="230"/>
      <c r="DU124" s="230"/>
      <c r="DV124" s="230"/>
      <c r="DW124" s="230"/>
      <c r="DX124" s="230"/>
      <c r="DY124" s="230"/>
      <c r="DZ124" s="230"/>
      <c r="EA124" s="230"/>
      <c r="EB124" s="230"/>
      <c r="EC124" s="230"/>
      <c r="ED124" s="230"/>
      <c r="EE124" s="230"/>
      <c r="EF124" s="230"/>
      <c r="EG124" s="230"/>
      <c r="EH124" s="230"/>
      <c r="EI124" s="230"/>
      <c r="EJ124" s="230"/>
      <c r="EK124" s="230"/>
      <c r="EL124" s="230"/>
      <c r="EM124" s="230"/>
      <c r="EN124" s="230"/>
      <c r="EO124" s="230"/>
      <c r="EP124" s="230"/>
      <c r="EQ124" s="230"/>
      <c r="ER124" s="230"/>
      <c r="ES124" s="230"/>
      <c r="ET124" s="230"/>
      <c r="EU124" s="230"/>
      <c r="EV124" s="230"/>
      <c r="EW124" s="230"/>
      <c r="EX124" s="230"/>
      <c r="EY124" s="230"/>
      <c r="EZ124" s="230"/>
      <c r="FA124" s="230"/>
      <c r="FB124" s="230"/>
      <c r="FC124" s="230"/>
      <c r="FD124" s="230"/>
      <c r="FE124" s="230"/>
      <c r="FF124" s="230"/>
      <c r="FG124" s="230"/>
      <c r="FH124" s="230"/>
      <c r="FI124" s="230"/>
      <c r="FJ124" s="230"/>
      <c r="FK124" s="230"/>
      <c r="FL124" s="230"/>
      <c r="FM124" s="230"/>
      <c r="FN124" s="230"/>
      <c r="FO124" s="230"/>
      <c r="FP124" s="230"/>
      <c r="FQ124" s="230"/>
      <c r="FR124" s="230"/>
      <c r="FS124" s="230"/>
      <c r="FT124" s="230"/>
      <c r="FU124" s="230"/>
      <c r="FV124" s="230"/>
      <c r="FW124" s="230"/>
      <c r="FX124" s="230"/>
      <c r="FY124" s="230"/>
      <c r="FZ124" s="230"/>
      <c r="GA124" s="230"/>
      <c r="GB124" s="230"/>
      <c r="GC124" s="230"/>
      <c r="GD124" s="230"/>
      <c r="GE124" s="230"/>
      <c r="GF124" s="230"/>
      <c r="GG124" s="230"/>
      <c r="GH124" s="230"/>
      <c r="GI124" s="230"/>
      <c r="GJ124" s="230"/>
      <c r="GK124" s="230"/>
      <c r="GL124" s="230"/>
      <c r="GM124" s="230"/>
      <c r="GN124" s="230"/>
      <c r="GO124" s="230"/>
      <c r="GP124" s="230"/>
      <c r="GQ124" s="230"/>
      <c r="GR124" s="230"/>
      <c r="GS124" s="230"/>
      <c r="GT124" s="230"/>
      <c r="GU124" s="230"/>
      <c r="GV124" s="230"/>
      <c r="GW124" s="230"/>
      <c r="GX124" s="230"/>
      <c r="GY124" s="230"/>
      <c r="GZ124" s="230"/>
      <c r="HA124" s="230"/>
      <c r="HB124" s="230"/>
      <c r="HC124" s="230"/>
      <c r="HD124" s="230"/>
      <c r="HE124" s="230"/>
      <c r="HF124" s="230"/>
      <c r="HG124" s="230"/>
      <c r="HH124" s="230"/>
      <c r="HI124" s="230"/>
      <c r="HJ124" s="230"/>
      <c r="HK124" s="230"/>
      <c r="HL124" s="230"/>
      <c r="HM124" s="230"/>
      <c r="HN124" s="230"/>
      <c r="HO124" s="230"/>
      <c r="HP124" s="230"/>
      <c r="HQ124" s="230"/>
      <c r="HR124" s="230"/>
      <c r="HS124" s="230"/>
      <c r="HT124" s="230"/>
      <c r="HU124" s="230"/>
      <c r="HV124" s="230"/>
      <c r="HW124" s="230"/>
      <c r="HX124" s="230"/>
      <c r="HY124" s="230"/>
      <c r="HZ124" s="230"/>
      <c r="IA124" s="230"/>
      <c r="IB124" s="230"/>
      <c r="IC124" s="230"/>
      <c r="ID124" s="230"/>
      <c r="IE124" s="230"/>
      <c r="IF124" s="230"/>
      <c r="IG124" s="230"/>
      <c r="IH124" s="230"/>
      <c r="II124" s="230"/>
      <c r="IJ124" s="230"/>
      <c r="IK124" s="230"/>
      <c r="IL124" s="230"/>
      <c r="IM124" s="230"/>
      <c r="IN124" s="230"/>
      <c r="IO124" s="230"/>
      <c r="IP124" s="230"/>
    </row>
    <row r="125" spans="1:250" s="73" customFormat="1">
      <c r="A125" s="432" t="s">
        <v>520</v>
      </c>
      <c r="B125" s="421">
        <f>0.89*B111*12*1.27</f>
        <v>16770.035040000002</v>
      </c>
      <c r="C125" s="193">
        <f>ROUND(B125/B111/12,2)</f>
        <v>1.1299999999999999</v>
      </c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0"/>
      <c r="AF125" s="230"/>
      <c r="AG125" s="230"/>
      <c r="AH125" s="230"/>
      <c r="AI125" s="230"/>
      <c r="AJ125" s="230"/>
      <c r="AK125" s="230"/>
      <c r="AL125" s="230"/>
      <c r="AM125" s="230"/>
      <c r="AN125" s="230"/>
      <c r="AO125" s="230"/>
      <c r="AP125" s="230"/>
      <c r="AQ125" s="230"/>
      <c r="AR125" s="230"/>
      <c r="AS125" s="230"/>
      <c r="AT125" s="230"/>
      <c r="AU125" s="230"/>
      <c r="AV125" s="230"/>
      <c r="AW125" s="230"/>
      <c r="AX125" s="230"/>
      <c r="AY125" s="230"/>
      <c r="AZ125" s="230"/>
      <c r="BA125" s="230"/>
      <c r="BB125" s="230"/>
      <c r="BC125" s="230"/>
      <c r="BD125" s="230"/>
      <c r="BE125" s="230"/>
      <c r="BF125" s="230"/>
      <c r="BG125" s="230"/>
      <c r="BH125" s="230"/>
      <c r="BI125" s="230"/>
      <c r="BJ125" s="230"/>
      <c r="BK125" s="230"/>
      <c r="BL125" s="230"/>
      <c r="BM125" s="230"/>
      <c r="BN125" s="230"/>
      <c r="BO125" s="230"/>
      <c r="BP125" s="230"/>
      <c r="BQ125" s="230"/>
      <c r="BR125" s="230"/>
      <c r="BS125" s="230"/>
      <c r="BT125" s="230"/>
      <c r="BU125" s="230"/>
      <c r="BV125" s="230"/>
      <c r="BW125" s="230"/>
      <c r="BX125" s="230"/>
      <c r="BY125" s="230"/>
      <c r="BZ125" s="230"/>
      <c r="CA125" s="230"/>
      <c r="CB125" s="230"/>
      <c r="CC125" s="230"/>
      <c r="CD125" s="230"/>
      <c r="CE125" s="230"/>
      <c r="CF125" s="230"/>
      <c r="CG125" s="230"/>
      <c r="CH125" s="230"/>
      <c r="CI125" s="230"/>
      <c r="CJ125" s="230"/>
      <c r="CK125" s="230"/>
      <c r="CL125" s="230"/>
      <c r="CM125" s="230"/>
      <c r="CN125" s="230"/>
      <c r="CO125" s="230"/>
      <c r="CP125" s="230"/>
      <c r="CQ125" s="230"/>
      <c r="CR125" s="230"/>
      <c r="CS125" s="230"/>
      <c r="CT125" s="230"/>
      <c r="CU125" s="230"/>
      <c r="CV125" s="230"/>
      <c r="CW125" s="230"/>
      <c r="CX125" s="230"/>
      <c r="CY125" s="230"/>
      <c r="CZ125" s="230"/>
      <c r="DA125" s="230"/>
      <c r="DB125" s="230"/>
      <c r="DC125" s="230"/>
      <c r="DD125" s="230"/>
      <c r="DE125" s="230"/>
      <c r="DF125" s="230"/>
      <c r="DG125" s="230"/>
      <c r="DH125" s="230"/>
      <c r="DI125" s="230"/>
      <c r="DJ125" s="230"/>
      <c r="DK125" s="230"/>
      <c r="DL125" s="230"/>
      <c r="DM125" s="230"/>
      <c r="DN125" s="230"/>
      <c r="DO125" s="230"/>
      <c r="DP125" s="230"/>
      <c r="DQ125" s="230"/>
      <c r="DR125" s="230"/>
      <c r="DS125" s="230"/>
      <c r="DT125" s="230"/>
      <c r="DU125" s="230"/>
      <c r="DV125" s="230"/>
      <c r="DW125" s="230"/>
      <c r="DX125" s="230"/>
      <c r="DY125" s="230"/>
      <c r="DZ125" s="230"/>
      <c r="EA125" s="230"/>
      <c r="EB125" s="230"/>
      <c r="EC125" s="230"/>
      <c r="ED125" s="230"/>
      <c r="EE125" s="230"/>
      <c r="EF125" s="230"/>
      <c r="EG125" s="230"/>
      <c r="EH125" s="230"/>
      <c r="EI125" s="230"/>
      <c r="EJ125" s="230"/>
      <c r="EK125" s="230"/>
      <c r="EL125" s="230"/>
      <c r="EM125" s="230"/>
      <c r="EN125" s="230"/>
      <c r="EO125" s="230"/>
      <c r="EP125" s="230"/>
      <c r="EQ125" s="230"/>
      <c r="ER125" s="230"/>
      <c r="ES125" s="230"/>
      <c r="ET125" s="230"/>
      <c r="EU125" s="230"/>
      <c r="EV125" s="230"/>
      <c r="EW125" s="230"/>
      <c r="EX125" s="230"/>
      <c r="EY125" s="230"/>
      <c r="EZ125" s="230"/>
      <c r="FA125" s="230"/>
      <c r="FB125" s="230"/>
      <c r="FC125" s="230"/>
      <c r="FD125" s="230"/>
      <c r="FE125" s="230"/>
      <c r="FF125" s="230"/>
      <c r="FG125" s="230"/>
      <c r="FH125" s="230"/>
      <c r="FI125" s="230"/>
      <c r="FJ125" s="230"/>
      <c r="FK125" s="230"/>
      <c r="FL125" s="230"/>
      <c r="FM125" s="230"/>
      <c r="FN125" s="230"/>
      <c r="FO125" s="230"/>
      <c r="FP125" s="230"/>
      <c r="FQ125" s="230"/>
      <c r="FR125" s="230"/>
      <c r="FS125" s="230"/>
      <c r="FT125" s="230"/>
      <c r="FU125" s="230"/>
      <c r="FV125" s="230"/>
      <c r="FW125" s="230"/>
      <c r="FX125" s="230"/>
      <c r="FY125" s="230"/>
      <c r="FZ125" s="230"/>
      <c r="GA125" s="230"/>
      <c r="GB125" s="230"/>
      <c r="GC125" s="230"/>
      <c r="GD125" s="230"/>
      <c r="GE125" s="230"/>
      <c r="GF125" s="230"/>
      <c r="GG125" s="230"/>
      <c r="GH125" s="230"/>
      <c r="GI125" s="230"/>
      <c r="GJ125" s="230"/>
      <c r="GK125" s="230"/>
      <c r="GL125" s="230"/>
      <c r="GM125" s="230"/>
      <c r="GN125" s="230"/>
      <c r="GO125" s="230"/>
      <c r="GP125" s="230"/>
      <c r="GQ125" s="230"/>
      <c r="GR125" s="230"/>
      <c r="GS125" s="230"/>
      <c r="GT125" s="230"/>
      <c r="GU125" s="230"/>
      <c r="GV125" s="230"/>
      <c r="GW125" s="230"/>
      <c r="GX125" s="230"/>
      <c r="GY125" s="230"/>
      <c r="GZ125" s="230"/>
      <c r="HA125" s="230"/>
      <c r="HB125" s="230"/>
      <c r="HC125" s="230"/>
      <c r="HD125" s="230"/>
      <c r="HE125" s="230"/>
      <c r="HF125" s="230"/>
      <c r="HG125" s="230"/>
      <c r="HH125" s="230"/>
      <c r="HI125" s="230"/>
      <c r="HJ125" s="230"/>
      <c r="HK125" s="230"/>
      <c r="HL125" s="230"/>
      <c r="HM125" s="230"/>
      <c r="HN125" s="230"/>
      <c r="HO125" s="230"/>
      <c r="HP125" s="230"/>
      <c r="HQ125" s="230"/>
      <c r="HR125" s="230"/>
      <c r="HS125" s="230"/>
      <c r="HT125" s="230"/>
      <c r="HU125" s="230"/>
      <c r="HV125" s="230"/>
      <c r="HW125" s="230"/>
      <c r="HX125" s="230"/>
      <c r="HY125" s="230"/>
      <c r="HZ125" s="230"/>
      <c r="IA125" s="230"/>
      <c r="IB125" s="230"/>
      <c r="IC125" s="230"/>
      <c r="ID125" s="230"/>
      <c r="IE125" s="230"/>
      <c r="IF125" s="230"/>
      <c r="IG125" s="230"/>
      <c r="IH125" s="230"/>
      <c r="II125" s="230"/>
      <c r="IJ125" s="230"/>
      <c r="IK125" s="230"/>
      <c r="IL125" s="230"/>
      <c r="IM125" s="230"/>
      <c r="IN125" s="230"/>
      <c r="IO125" s="230"/>
      <c r="IP125" s="230"/>
    </row>
    <row r="126" spans="1:250" s="73" customFormat="1">
      <c r="A126" s="432" t="s">
        <v>987</v>
      </c>
      <c r="B126" s="421">
        <f>0.31*B111*12*1.27</f>
        <v>5841.2481600000001</v>
      </c>
      <c r="C126" s="193">
        <f>ROUND(B126/B111/12,2)</f>
        <v>0.39</v>
      </c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  <c r="AH126" s="230"/>
      <c r="AI126" s="230"/>
      <c r="AJ126" s="230"/>
      <c r="AK126" s="230"/>
      <c r="AL126" s="230"/>
      <c r="AM126" s="230"/>
      <c r="AN126" s="230"/>
      <c r="AO126" s="230"/>
      <c r="AP126" s="230"/>
      <c r="AQ126" s="230"/>
      <c r="AR126" s="230"/>
      <c r="AS126" s="230"/>
      <c r="AT126" s="230"/>
      <c r="AU126" s="230"/>
      <c r="AV126" s="230"/>
      <c r="AW126" s="230"/>
      <c r="AX126" s="230"/>
      <c r="AY126" s="230"/>
      <c r="AZ126" s="230"/>
      <c r="BA126" s="230"/>
      <c r="BB126" s="230"/>
      <c r="BC126" s="230"/>
      <c r="BD126" s="230"/>
      <c r="BE126" s="230"/>
      <c r="BF126" s="230"/>
      <c r="BG126" s="230"/>
      <c r="BH126" s="230"/>
      <c r="BI126" s="230"/>
      <c r="BJ126" s="230"/>
      <c r="BK126" s="230"/>
      <c r="BL126" s="230"/>
      <c r="BM126" s="230"/>
      <c r="BN126" s="230"/>
      <c r="BO126" s="230"/>
      <c r="BP126" s="230"/>
      <c r="BQ126" s="230"/>
      <c r="BR126" s="230"/>
      <c r="BS126" s="230"/>
      <c r="BT126" s="230"/>
      <c r="BU126" s="230"/>
      <c r="BV126" s="230"/>
      <c r="BW126" s="230"/>
      <c r="BX126" s="230"/>
      <c r="BY126" s="230"/>
      <c r="BZ126" s="230"/>
      <c r="CA126" s="230"/>
      <c r="CB126" s="230"/>
      <c r="CC126" s="230"/>
      <c r="CD126" s="230"/>
      <c r="CE126" s="230"/>
      <c r="CF126" s="230"/>
      <c r="CG126" s="230"/>
      <c r="CH126" s="230"/>
      <c r="CI126" s="230"/>
      <c r="CJ126" s="230"/>
      <c r="CK126" s="230"/>
      <c r="CL126" s="230"/>
      <c r="CM126" s="230"/>
      <c r="CN126" s="230"/>
      <c r="CO126" s="230"/>
      <c r="CP126" s="230"/>
      <c r="CQ126" s="230"/>
      <c r="CR126" s="230"/>
      <c r="CS126" s="230"/>
      <c r="CT126" s="230"/>
      <c r="CU126" s="230"/>
      <c r="CV126" s="230"/>
      <c r="CW126" s="230"/>
      <c r="CX126" s="230"/>
      <c r="CY126" s="230"/>
      <c r="CZ126" s="230"/>
      <c r="DA126" s="230"/>
      <c r="DB126" s="230"/>
      <c r="DC126" s="230"/>
      <c r="DD126" s="230"/>
      <c r="DE126" s="230"/>
      <c r="DF126" s="230"/>
      <c r="DG126" s="230"/>
      <c r="DH126" s="230"/>
      <c r="DI126" s="230"/>
      <c r="DJ126" s="230"/>
      <c r="DK126" s="230"/>
      <c r="DL126" s="230"/>
      <c r="DM126" s="230"/>
      <c r="DN126" s="230"/>
      <c r="DO126" s="230"/>
      <c r="DP126" s="230"/>
      <c r="DQ126" s="230"/>
      <c r="DR126" s="230"/>
      <c r="DS126" s="230"/>
      <c r="DT126" s="230"/>
      <c r="DU126" s="230"/>
      <c r="DV126" s="230"/>
      <c r="DW126" s="230"/>
      <c r="DX126" s="230"/>
      <c r="DY126" s="230"/>
      <c r="DZ126" s="230"/>
      <c r="EA126" s="230"/>
      <c r="EB126" s="230"/>
      <c r="EC126" s="230"/>
      <c r="ED126" s="230"/>
      <c r="EE126" s="230"/>
      <c r="EF126" s="230"/>
      <c r="EG126" s="230"/>
      <c r="EH126" s="230"/>
      <c r="EI126" s="230"/>
      <c r="EJ126" s="230"/>
      <c r="EK126" s="230"/>
      <c r="EL126" s="230"/>
      <c r="EM126" s="230"/>
      <c r="EN126" s="230"/>
      <c r="EO126" s="230"/>
      <c r="EP126" s="230"/>
      <c r="EQ126" s="230"/>
      <c r="ER126" s="230"/>
      <c r="ES126" s="230"/>
      <c r="ET126" s="230"/>
      <c r="EU126" s="230"/>
      <c r="EV126" s="230"/>
      <c r="EW126" s="230"/>
      <c r="EX126" s="230"/>
      <c r="EY126" s="230"/>
      <c r="EZ126" s="230"/>
      <c r="FA126" s="230"/>
      <c r="FB126" s="230"/>
      <c r="FC126" s="230"/>
      <c r="FD126" s="230"/>
      <c r="FE126" s="230"/>
      <c r="FF126" s="230"/>
      <c r="FG126" s="230"/>
      <c r="FH126" s="230"/>
      <c r="FI126" s="230"/>
      <c r="FJ126" s="230"/>
      <c r="FK126" s="230"/>
      <c r="FL126" s="230"/>
      <c r="FM126" s="230"/>
      <c r="FN126" s="230"/>
      <c r="FO126" s="230"/>
      <c r="FP126" s="230"/>
      <c r="FQ126" s="230"/>
      <c r="FR126" s="230"/>
      <c r="FS126" s="230"/>
      <c r="FT126" s="230"/>
      <c r="FU126" s="230"/>
      <c r="FV126" s="230"/>
      <c r="FW126" s="230"/>
      <c r="FX126" s="230"/>
      <c r="FY126" s="230"/>
      <c r="FZ126" s="230"/>
      <c r="GA126" s="230"/>
      <c r="GB126" s="230"/>
      <c r="GC126" s="230"/>
      <c r="GD126" s="230"/>
      <c r="GE126" s="230"/>
      <c r="GF126" s="230"/>
      <c r="GG126" s="230"/>
      <c r="GH126" s="230"/>
      <c r="GI126" s="230"/>
      <c r="GJ126" s="230"/>
      <c r="GK126" s="230"/>
      <c r="GL126" s="230"/>
      <c r="GM126" s="230"/>
      <c r="GN126" s="230"/>
      <c r="GO126" s="230"/>
      <c r="GP126" s="230"/>
      <c r="GQ126" s="230"/>
      <c r="GR126" s="230"/>
      <c r="GS126" s="230"/>
      <c r="GT126" s="230"/>
      <c r="GU126" s="230"/>
      <c r="GV126" s="230"/>
      <c r="GW126" s="230"/>
      <c r="GX126" s="230"/>
      <c r="GY126" s="230"/>
      <c r="GZ126" s="230"/>
      <c r="HA126" s="230"/>
      <c r="HB126" s="230"/>
      <c r="HC126" s="230"/>
      <c r="HD126" s="230"/>
      <c r="HE126" s="230"/>
      <c r="HF126" s="230"/>
      <c r="HG126" s="230"/>
      <c r="HH126" s="230"/>
      <c r="HI126" s="230"/>
      <c r="HJ126" s="230"/>
      <c r="HK126" s="230"/>
      <c r="HL126" s="230"/>
      <c r="HM126" s="230"/>
      <c r="HN126" s="230"/>
      <c r="HO126" s="230"/>
      <c r="HP126" s="230"/>
      <c r="HQ126" s="230"/>
      <c r="HR126" s="230"/>
      <c r="HS126" s="230"/>
      <c r="HT126" s="230"/>
      <c r="HU126" s="230"/>
      <c r="HV126" s="230"/>
      <c r="HW126" s="230"/>
      <c r="HX126" s="230"/>
      <c r="HY126" s="230"/>
      <c r="HZ126" s="230"/>
      <c r="IA126" s="230"/>
      <c r="IB126" s="230"/>
      <c r="IC126" s="230"/>
      <c r="ID126" s="230"/>
      <c r="IE126" s="230"/>
      <c r="IF126" s="230"/>
      <c r="IG126" s="230"/>
      <c r="IH126" s="230"/>
      <c r="II126" s="230"/>
      <c r="IJ126" s="230"/>
      <c r="IK126" s="230"/>
      <c r="IL126" s="230"/>
      <c r="IM126" s="230"/>
      <c r="IN126" s="230"/>
      <c r="IO126" s="230"/>
      <c r="IP126" s="230"/>
    </row>
    <row r="127" spans="1:250" s="73" customFormat="1">
      <c r="A127" s="432" t="s">
        <v>600</v>
      </c>
      <c r="B127" s="421">
        <f>100*70*1.27</f>
        <v>8890</v>
      </c>
      <c r="C127" s="193">
        <f>ROUND(B127/B111/12,2)</f>
        <v>0.6</v>
      </c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0"/>
      <c r="AD127" s="230"/>
      <c r="AE127" s="230"/>
      <c r="AF127" s="230"/>
      <c r="AG127" s="230"/>
      <c r="AH127" s="230"/>
      <c r="AI127" s="230"/>
      <c r="AJ127" s="230"/>
      <c r="AK127" s="230"/>
      <c r="AL127" s="230"/>
      <c r="AM127" s="230"/>
      <c r="AN127" s="230"/>
      <c r="AO127" s="230"/>
      <c r="AP127" s="230"/>
      <c r="AQ127" s="230"/>
      <c r="AR127" s="230"/>
      <c r="AS127" s="230"/>
      <c r="AT127" s="230"/>
      <c r="AU127" s="230"/>
      <c r="AV127" s="230"/>
      <c r="AW127" s="230"/>
      <c r="AX127" s="230"/>
      <c r="AY127" s="230"/>
      <c r="AZ127" s="230"/>
      <c r="BA127" s="230"/>
      <c r="BB127" s="230"/>
      <c r="BC127" s="230"/>
      <c r="BD127" s="230"/>
      <c r="BE127" s="230"/>
      <c r="BF127" s="230"/>
      <c r="BG127" s="230"/>
      <c r="BH127" s="230"/>
      <c r="BI127" s="230"/>
      <c r="BJ127" s="230"/>
      <c r="BK127" s="230"/>
      <c r="BL127" s="230"/>
      <c r="BM127" s="230"/>
      <c r="BN127" s="230"/>
      <c r="BO127" s="230"/>
      <c r="BP127" s="230"/>
      <c r="BQ127" s="230"/>
      <c r="BR127" s="230"/>
      <c r="BS127" s="230"/>
      <c r="BT127" s="230"/>
      <c r="BU127" s="230"/>
      <c r="BV127" s="230"/>
      <c r="BW127" s="230"/>
      <c r="BX127" s="230"/>
      <c r="BY127" s="230"/>
      <c r="BZ127" s="230"/>
      <c r="CA127" s="230"/>
      <c r="CB127" s="230"/>
      <c r="CC127" s="230"/>
      <c r="CD127" s="230"/>
      <c r="CE127" s="230"/>
      <c r="CF127" s="230"/>
      <c r="CG127" s="230"/>
      <c r="CH127" s="230"/>
      <c r="CI127" s="230"/>
      <c r="CJ127" s="230"/>
      <c r="CK127" s="230"/>
      <c r="CL127" s="230"/>
      <c r="CM127" s="230"/>
      <c r="CN127" s="230"/>
      <c r="CO127" s="230"/>
      <c r="CP127" s="230"/>
      <c r="CQ127" s="230"/>
      <c r="CR127" s="230"/>
      <c r="CS127" s="230"/>
      <c r="CT127" s="230"/>
      <c r="CU127" s="230"/>
      <c r="CV127" s="230"/>
      <c r="CW127" s="230"/>
      <c r="CX127" s="230"/>
      <c r="CY127" s="230"/>
      <c r="CZ127" s="230"/>
      <c r="DA127" s="230"/>
      <c r="DB127" s="230"/>
      <c r="DC127" s="230"/>
      <c r="DD127" s="230"/>
      <c r="DE127" s="230"/>
      <c r="DF127" s="230"/>
      <c r="DG127" s="230"/>
      <c r="DH127" s="230"/>
      <c r="DI127" s="230"/>
      <c r="DJ127" s="230"/>
      <c r="DK127" s="230"/>
      <c r="DL127" s="230"/>
      <c r="DM127" s="230"/>
      <c r="DN127" s="230"/>
      <c r="DO127" s="230"/>
      <c r="DP127" s="230"/>
      <c r="DQ127" s="230"/>
      <c r="DR127" s="230"/>
      <c r="DS127" s="230"/>
      <c r="DT127" s="230"/>
      <c r="DU127" s="230"/>
      <c r="DV127" s="230"/>
      <c r="DW127" s="230"/>
      <c r="DX127" s="230"/>
      <c r="DY127" s="230"/>
      <c r="DZ127" s="230"/>
      <c r="EA127" s="230"/>
      <c r="EB127" s="230"/>
      <c r="EC127" s="230"/>
      <c r="ED127" s="230"/>
      <c r="EE127" s="230"/>
      <c r="EF127" s="230"/>
      <c r="EG127" s="230"/>
      <c r="EH127" s="230"/>
      <c r="EI127" s="230"/>
      <c r="EJ127" s="230"/>
      <c r="EK127" s="230"/>
      <c r="EL127" s="230"/>
      <c r="EM127" s="230"/>
      <c r="EN127" s="230"/>
      <c r="EO127" s="230"/>
      <c r="EP127" s="230"/>
      <c r="EQ127" s="230"/>
      <c r="ER127" s="230"/>
      <c r="ES127" s="230"/>
      <c r="ET127" s="230"/>
      <c r="EU127" s="230"/>
      <c r="EV127" s="230"/>
      <c r="EW127" s="230"/>
      <c r="EX127" s="230"/>
      <c r="EY127" s="230"/>
      <c r="EZ127" s="230"/>
      <c r="FA127" s="230"/>
      <c r="FB127" s="230"/>
      <c r="FC127" s="230"/>
      <c r="FD127" s="230"/>
      <c r="FE127" s="230"/>
      <c r="FF127" s="230"/>
      <c r="FG127" s="230"/>
      <c r="FH127" s="230"/>
      <c r="FI127" s="230"/>
      <c r="FJ127" s="230"/>
      <c r="FK127" s="230"/>
      <c r="FL127" s="230"/>
      <c r="FM127" s="230"/>
      <c r="FN127" s="230"/>
      <c r="FO127" s="230"/>
      <c r="FP127" s="230"/>
      <c r="FQ127" s="230"/>
      <c r="FR127" s="230"/>
      <c r="FS127" s="230"/>
      <c r="FT127" s="230"/>
      <c r="FU127" s="230"/>
      <c r="FV127" s="230"/>
      <c r="FW127" s="230"/>
      <c r="FX127" s="230"/>
      <c r="FY127" s="230"/>
      <c r="FZ127" s="230"/>
      <c r="GA127" s="230"/>
      <c r="GB127" s="230"/>
      <c r="GC127" s="230"/>
      <c r="GD127" s="230"/>
      <c r="GE127" s="230"/>
      <c r="GF127" s="230"/>
      <c r="GG127" s="230"/>
      <c r="GH127" s="230"/>
      <c r="GI127" s="230"/>
      <c r="GJ127" s="230"/>
      <c r="GK127" s="230"/>
      <c r="GL127" s="230"/>
      <c r="GM127" s="230"/>
      <c r="GN127" s="230"/>
      <c r="GO127" s="230"/>
      <c r="GP127" s="230"/>
      <c r="GQ127" s="230"/>
      <c r="GR127" s="230"/>
      <c r="GS127" s="230"/>
      <c r="GT127" s="230"/>
      <c r="GU127" s="230"/>
      <c r="GV127" s="230"/>
      <c r="GW127" s="230"/>
      <c r="GX127" s="230"/>
      <c r="GY127" s="230"/>
      <c r="GZ127" s="230"/>
      <c r="HA127" s="230"/>
      <c r="HB127" s="230"/>
      <c r="HC127" s="230"/>
      <c r="HD127" s="230"/>
      <c r="HE127" s="230"/>
      <c r="HF127" s="230"/>
      <c r="HG127" s="230"/>
      <c r="HH127" s="230"/>
      <c r="HI127" s="230"/>
      <c r="HJ127" s="230"/>
      <c r="HK127" s="230"/>
      <c r="HL127" s="230"/>
      <c r="HM127" s="230"/>
      <c r="HN127" s="230"/>
      <c r="HO127" s="230"/>
      <c r="HP127" s="230"/>
      <c r="HQ127" s="230"/>
      <c r="HR127" s="230"/>
      <c r="HS127" s="230"/>
      <c r="HT127" s="230"/>
      <c r="HU127" s="230"/>
      <c r="HV127" s="230"/>
      <c r="HW127" s="230"/>
      <c r="HX127" s="230"/>
      <c r="HY127" s="230"/>
      <c r="HZ127" s="230"/>
      <c r="IA127" s="230"/>
      <c r="IB127" s="230"/>
      <c r="IC127" s="230"/>
      <c r="ID127" s="230"/>
      <c r="IE127" s="230"/>
      <c r="IF127" s="230"/>
      <c r="IG127" s="230"/>
      <c r="IH127" s="230"/>
      <c r="II127" s="230"/>
      <c r="IJ127" s="230"/>
      <c r="IK127" s="230"/>
      <c r="IL127" s="230"/>
      <c r="IM127" s="230"/>
      <c r="IN127" s="230"/>
      <c r="IO127" s="230"/>
      <c r="IP127" s="230"/>
    </row>
    <row r="128" spans="1:250" s="73" customFormat="1">
      <c r="A128" s="432" t="s">
        <v>1571</v>
      </c>
      <c r="B128" s="421">
        <f>0.25*9100*12*1.302*1.27</f>
        <v>45141.642</v>
      </c>
      <c r="C128" s="193">
        <f>ROUND(B128/B111/12,2)</f>
        <v>3.04</v>
      </c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30"/>
      <c r="AH128" s="230"/>
      <c r="AI128" s="230"/>
      <c r="AJ128" s="230"/>
      <c r="AK128" s="230"/>
      <c r="AL128" s="230"/>
      <c r="AM128" s="230"/>
      <c r="AN128" s="230"/>
      <c r="AO128" s="230"/>
      <c r="AP128" s="230"/>
      <c r="AQ128" s="230"/>
      <c r="AR128" s="230"/>
      <c r="AS128" s="230"/>
      <c r="AT128" s="230"/>
      <c r="AU128" s="230"/>
      <c r="AV128" s="230"/>
      <c r="AW128" s="230"/>
      <c r="AX128" s="230"/>
      <c r="AY128" s="230"/>
      <c r="AZ128" s="230"/>
      <c r="BA128" s="230"/>
      <c r="BB128" s="230"/>
      <c r="BC128" s="230"/>
      <c r="BD128" s="230"/>
      <c r="BE128" s="230"/>
      <c r="BF128" s="230"/>
      <c r="BG128" s="230"/>
      <c r="BH128" s="230"/>
      <c r="BI128" s="230"/>
      <c r="BJ128" s="230"/>
      <c r="BK128" s="230"/>
      <c r="BL128" s="230"/>
      <c r="BM128" s="230"/>
      <c r="BN128" s="230"/>
      <c r="BO128" s="230"/>
      <c r="BP128" s="230"/>
      <c r="BQ128" s="230"/>
      <c r="BR128" s="230"/>
      <c r="BS128" s="230"/>
      <c r="BT128" s="230"/>
      <c r="BU128" s="230"/>
      <c r="BV128" s="230"/>
      <c r="BW128" s="230"/>
      <c r="BX128" s="230"/>
      <c r="BY128" s="230"/>
      <c r="BZ128" s="230"/>
      <c r="CA128" s="230"/>
      <c r="CB128" s="230"/>
      <c r="CC128" s="230"/>
      <c r="CD128" s="230"/>
      <c r="CE128" s="230"/>
      <c r="CF128" s="230"/>
      <c r="CG128" s="230"/>
      <c r="CH128" s="230"/>
      <c r="CI128" s="230"/>
      <c r="CJ128" s="230"/>
      <c r="CK128" s="230"/>
      <c r="CL128" s="230"/>
      <c r="CM128" s="230"/>
      <c r="CN128" s="230"/>
      <c r="CO128" s="230"/>
      <c r="CP128" s="230"/>
      <c r="CQ128" s="230"/>
      <c r="CR128" s="230"/>
      <c r="CS128" s="230"/>
      <c r="CT128" s="230"/>
      <c r="CU128" s="230"/>
      <c r="CV128" s="230"/>
      <c r="CW128" s="230"/>
      <c r="CX128" s="230"/>
      <c r="CY128" s="230"/>
      <c r="CZ128" s="230"/>
      <c r="DA128" s="230"/>
      <c r="DB128" s="230"/>
      <c r="DC128" s="230"/>
      <c r="DD128" s="230"/>
      <c r="DE128" s="230"/>
      <c r="DF128" s="230"/>
      <c r="DG128" s="230"/>
      <c r="DH128" s="230"/>
      <c r="DI128" s="230"/>
      <c r="DJ128" s="230"/>
      <c r="DK128" s="230"/>
      <c r="DL128" s="230"/>
      <c r="DM128" s="230"/>
      <c r="DN128" s="230"/>
      <c r="DO128" s="230"/>
      <c r="DP128" s="230"/>
      <c r="DQ128" s="230"/>
      <c r="DR128" s="230"/>
      <c r="DS128" s="230"/>
      <c r="DT128" s="230"/>
      <c r="DU128" s="230"/>
      <c r="DV128" s="230"/>
      <c r="DW128" s="230"/>
      <c r="DX128" s="230"/>
      <c r="DY128" s="230"/>
      <c r="DZ128" s="230"/>
      <c r="EA128" s="230"/>
      <c r="EB128" s="230"/>
      <c r="EC128" s="230"/>
      <c r="ED128" s="230"/>
      <c r="EE128" s="230"/>
      <c r="EF128" s="230"/>
      <c r="EG128" s="230"/>
      <c r="EH128" s="230"/>
      <c r="EI128" s="230"/>
      <c r="EJ128" s="230"/>
      <c r="EK128" s="230"/>
      <c r="EL128" s="230"/>
      <c r="EM128" s="230"/>
      <c r="EN128" s="230"/>
      <c r="EO128" s="230"/>
      <c r="EP128" s="230"/>
      <c r="EQ128" s="230"/>
      <c r="ER128" s="230"/>
      <c r="ES128" s="230"/>
      <c r="ET128" s="230"/>
      <c r="EU128" s="230"/>
      <c r="EV128" s="230"/>
      <c r="EW128" s="230"/>
      <c r="EX128" s="230"/>
      <c r="EY128" s="230"/>
      <c r="EZ128" s="230"/>
      <c r="FA128" s="230"/>
      <c r="FB128" s="230"/>
      <c r="FC128" s="230"/>
      <c r="FD128" s="230"/>
      <c r="FE128" s="230"/>
      <c r="FF128" s="230"/>
      <c r="FG128" s="230"/>
      <c r="FH128" s="230"/>
      <c r="FI128" s="230"/>
      <c r="FJ128" s="230"/>
      <c r="FK128" s="230"/>
      <c r="FL128" s="230"/>
      <c r="FM128" s="230"/>
      <c r="FN128" s="230"/>
      <c r="FO128" s="230"/>
      <c r="FP128" s="230"/>
      <c r="FQ128" s="230"/>
      <c r="FR128" s="230"/>
      <c r="FS128" s="230"/>
      <c r="FT128" s="230"/>
      <c r="FU128" s="230"/>
      <c r="FV128" s="230"/>
      <c r="FW128" s="230"/>
      <c r="FX128" s="230"/>
      <c r="FY128" s="230"/>
      <c r="FZ128" s="230"/>
      <c r="GA128" s="230"/>
      <c r="GB128" s="230"/>
      <c r="GC128" s="230"/>
      <c r="GD128" s="230"/>
      <c r="GE128" s="230"/>
      <c r="GF128" s="230"/>
      <c r="GG128" s="230"/>
      <c r="GH128" s="230"/>
      <c r="GI128" s="230"/>
      <c r="GJ128" s="230"/>
      <c r="GK128" s="230"/>
      <c r="GL128" s="230"/>
      <c r="GM128" s="230"/>
      <c r="GN128" s="230"/>
      <c r="GO128" s="230"/>
      <c r="GP128" s="230"/>
      <c r="GQ128" s="230"/>
      <c r="GR128" s="230"/>
      <c r="GS128" s="230"/>
      <c r="GT128" s="230"/>
      <c r="GU128" s="230"/>
      <c r="GV128" s="230"/>
      <c r="GW128" s="230"/>
      <c r="GX128" s="230"/>
      <c r="GY128" s="230"/>
      <c r="GZ128" s="230"/>
      <c r="HA128" s="230"/>
      <c r="HB128" s="230"/>
      <c r="HC128" s="230"/>
      <c r="HD128" s="230"/>
      <c r="HE128" s="230"/>
      <c r="HF128" s="230"/>
      <c r="HG128" s="230"/>
      <c r="HH128" s="230"/>
      <c r="HI128" s="230"/>
      <c r="HJ128" s="230"/>
      <c r="HK128" s="230"/>
      <c r="HL128" s="230"/>
      <c r="HM128" s="230"/>
      <c r="HN128" s="230"/>
      <c r="HO128" s="230"/>
      <c r="HP128" s="230"/>
      <c r="HQ128" s="230"/>
      <c r="HR128" s="230"/>
      <c r="HS128" s="230"/>
      <c r="HT128" s="230"/>
      <c r="HU128" s="230"/>
      <c r="HV128" s="230"/>
      <c r="HW128" s="230"/>
      <c r="HX128" s="230"/>
      <c r="HY128" s="230"/>
      <c r="HZ128" s="230"/>
      <c r="IA128" s="230"/>
      <c r="IB128" s="230"/>
      <c r="IC128" s="230"/>
      <c r="ID128" s="230"/>
      <c r="IE128" s="230"/>
      <c r="IF128" s="230"/>
      <c r="IG128" s="230"/>
      <c r="IH128" s="230"/>
      <c r="II128" s="230"/>
      <c r="IJ128" s="230"/>
      <c r="IK128" s="230"/>
      <c r="IL128" s="230"/>
      <c r="IM128" s="230"/>
      <c r="IN128" s="230"/>
      <c r="IO128" s="230"/>
      <c r="IP128" s="230"/>
    </row>
    <row r="129" spans="1:250" s="73" customFormat="1">
      <c r="A129" s="432" t="s">
        <v>602</v>
      </c>
      <c r="B129" s="421">
        <f>B106</f>
        <v>387</v>
      </c>
      <c r="C129" s="193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230"/>
      <c r="AL129" s="230"/>
      <c r="AM129" s="230"/>
      <c r="AN129" s="230"/>
      <c r="AO129" s="230"/>
      <c r="AP129" s="230"/>
      <c r="AQ129" s="230"/>
      <c r="AR129" s="230"/>
      <c r="AS129" s="230"/>
      <c r="AT129" s="230"/>
      <c r="AU129" s="230"/>
      <c r="AV129" s="230"/>
      <c r="AW129" s="230"/>
      <c r="AX129" s="230"/>
      <c r="AY129" s="230"/>
      <c r="AZ129" s="230"/>
      <c r="BA129" s="230"/>
      <c r="BB129" s="230"/>
      <c r="BC129" s="230"/>
      <c r="BD129" s="230"/>
      <c r="BE129" s="230"/>
      <c r="BF129" s="230"/>
      <c r="BG129" s="230"/>
      <c r="BH129" s="230"/>
      <c r="BI129" s="230"/>
      <c r="BJ129" s="230"/>
      <c r="BK129" s="230"/>
      <c r="BL129" s="230"/>
      <c r="BM129" s="230"/>
      <c r="BN129" s="230"/>
      <c r="BO129" s="230"/>
      <c r="BP129" s="230"/>
      <c r="BQ129" s="230"/>
      <c r="BR129" s="230"/>
      <c r="BS129" s="230"/>
      <c r="BT129" s="230"/>
      <c r="BU129" s="230"/>
      <c r="BV129" s="230"/>
      <c r="BW129" s="230"/>
      <c r="BX129" s="230"/>
      <c r="BY129" s="230"/>
      <c r="BZ129" s="230"/>
      <c r="CA129" s="230"/>
      <c r="CB129" s="230"/>
      <c r="CC129" s="230"/>
      <c r="CD129" s="230"/>
      <c r="CE129" s="230"/>
      <c r="CF129" s="230"/>
      <c r="CG129" s="230"/>
      <c r="CH129" s="230"/>
      <c r="CI129" s="230"/>
      <c r="CJ129" s="230"/>
      <c r="CK129" s="230"/>
      <c r="CL129" s="230"/>
      <c r="CM129" s="230"/>
      <c r="CN129" s="230"/>
      <c r="CO129" s="230"/>
      <c r="CP129" s="230"/>
      <c r="CQ129" s="230"/>
      <c r="CR129" s="230"/>
      <c r="CS129" s="230"/>
      <c r="CT129" s="230"/>
      <c r="CU129" s="230"/>
      <c r="CV129" s="230"/>
      <c r="CW129" s="230"/>
      <c r="CX129" s="230"/>
      <c r="CY129" s="230"/>
      <c r="CZ129" s="230"/>
      <c r="DA129" s="230"/>
      <c r="DB129" s="230"/>
      <c r="DC129" s="230"/>
      <c r="DD129" s="230"/>
      <c r="DE129" s="230"/>
      <c r="DF129" s="230"/>
      <c r="DG129" s="230"/>
      <c r="DH129" s="230"/>
      <c r="DI129" s="230"/>
      <c r="DJ129" s="230"/>
      <c r="DK129" s="230"/>
      <c r="DL129" s="230"/>
      <c r="DM129" s="230"/>
      <c r="DN129" s="230"/>
      <c r="DO129" s="230"/>
      <c r="DP129" s="230"/>
      <c r="DQ129" s="230"/>
      <c r="DR129" s="230"/>
      <c r="DS129" s="230"/>
      <c r="DT129" s="230"/>
      <c r="DU129" s="230"/>
      <c r="DV129" s="230"/>
      <c r="DW129" s="230"/>
      <c r="DX129" s="230"/>
      <c r="DY129" s="230"/>
      <c r="DZ129" s="230"/>
      <c r="EA129" s="230"/>
      <c r="EB129" s="230"/>
      <c r="EC129" s="230"/>
      <c r="ED129" s="230"/>
      <c r="EE129" s="230"/>
      <c r="EF129" s="230"/>
      <c r="EG129" s="230"/>
      <c r="EH129" s="230"/>
      <c r="EI129" s="230"/>
      <c r="EJ129" s="230"/>
      <c r="EK129" s="230"/>
      <c r="EL129" s="230"/>
      <c r="EM129" s="230"/>
      <c r="EN129" s="230"/>
      <c r="EO129" s="230"/>
      <c r="EP129" s="230"/>
      <c r="EQ129" s="230"/>
      <c r="ER129" s="230"/>
      <c r="ES129" s="230"/>
      <c r="ET129" s="230"/>
      <c r="EU129" s="230"/>
      <c r="EV129" s="230"/>
      <c r="EW129" s="230"/>
      <c r="EX129" s="230"/>
      <c r="EY129" s="230"/>
      <c r="EZ129" s="230"/>
      <c r="FA129" s="230"/>
      <c r="FB129" s="230"/>
      <c r="FC129" s="230"/>
      <c r="FD129" s="230"/>
      <c r="FE129" s="230"/>
      <c r="FF129" s="230"/>
      <c r="FG129" s="230"/>
      <c r="FH129" s="230"/>
      <c r="FI129" s="230"/>
      <c r="FJ129" s="230"/>
      <c r="FK129" s="230"/>
      <c r="FL129" s="230"/>
      <c r="FM129" s="230"/>
      <c r="FN129" s="230"/>
      <c r="FO129" s="230"/>
      <c r="FP129" s="230"/>
      <c r="FQ129" s="230"/>
      <c r="FR129" s="230"/>
      <c r="FS129" s="230"/>
      <c r="FT129" s="230"/>
      <c r="FU129" s="230"/>
      <c r="FV129" s="230"/>
      <c r="FW129" s="230"/>
      <c r="FX129" s="230"/>
      <c r="FY129" s="230"/>
      <c r="FZ129" s="230"/>
      <c r="GA129" s="230"/>
      <c r="GB129" s="230"/>
      <c r="GC129" s="230"/>
      <c r="GD129" s="230"/>
      <c r="GE129" s="230"/>
      <c r="GF129" s="230"/>
      <c r="GG129" s="230"/>
      <c r="GH129" s="230"/>
      <c r="GI129" s="230"/>
      <c r="GJ129" s="230"/>
      <c r="GK129" s="230"/>
      <c r="GL129" s="230"/>
      <c r="GM129" s="230"/>
      <c r="GN129" s="230"/>
      <c r="GO129" s="230"/>
      <c r="GP129" s="230"/>
      <c r="GQ129" s="230"/>
      <c r="GR129" s="230"/>
      <c r="GS129" s="230"/>
      <c r="GT129" s="230"/>
      <c r="GU129" s="230"/>
      <c r="GV129" s="230"/>
      <c r="GW129" s="230"/>
      <c r="GX129" s="230"/>
      <c r="GY129" s="230"/>
      <c r="GZ129" s="230"/>
      <c r="HA129" s="230"/>
      <c r="HB129" s="230"/>
      <c r="HC129" s="230"/>
      <c r="HD129" s="230"/>
      <c r="HE129" s="230"/>
      <c r="HF129" s="230"/>
      <c r="HG129" s="230"/>
      <c r="HH129" s="230"/>
      <c r="HI129" s="230"/>
      <c r="HJ129" s="230"/>
      <c r="HK129" s="230"/>
      <c r="HL129" s="230"/>
      <c r="HM129" s="230"/>
      <c r="HN129" s="230"/>
      <c r="HO129" s="230"/>
      <c r="HP129" s="230"/>
      <c r="HQ129" s="230"/>
      <c r="HR129" s="230"/>
      <c r="HS129" s="230"/>
      <c r="HT129" s="230"/>
      <c r="HU129" s="230"/>
      <c r="HV129" s="230"/>
      <c r="HW129" s="230"/>
      <c r="HX129" s="230"/>
      <c r="HY129" s="230"/>
      <c r="HZ129" s="230"/>
      <c r="IA129" s="230"/>
      <c r="IB129" s="230"/>
      <c r="IC129" s="230"/>
      <c r="ID129" s="230"/>
      <c r="IE129" s="230"/>
      <c r="IF129" s="230"/>
      <c r="IG129" s="230"/>
      <c r="IH129" s="230"/>
      <c r="II129" s="230"/>
      <c r="IJ129" s="230"/>
      <c r="IK129" s="230"/>
      <c r="IL129" s="230"/>
      <c r="IM129" s="230"/>
      <c r="IN129" s="230"/>
      <c r="IO129" s="230"/>
      <c r="IP129" s="230"/>
    </row>
    <row r="130" spans="1:250" s="73" customFormat="1">
      <c r="A130" s="432" t="s">
        <v>603</v>
      </c>
      <c r="B130" s="421">
        <f>B129*110*1.302*1.27</f>
        <v>70391.197799999994</v>
      </c>
      <c r="C130" s="193">
        <f>ROUND(B130/B111/12,2)</f>
        <v>4.74</v>
      </c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  <c r="AH130" s="230"/>
      <c r="AI130" s="230"/>
      <c r="AJ130" s="230"/>
      <c r="AK130" s="230"/>
      <c r="AL130" s="230"/>
      <c r="AM130" s="230"/>
      <c r="AN130" s="230"/>
      <c r="AO130" s="230"/>
      <c r="AP130" s="230"/>
      <c r="AQ130" s="230"/>
      <c r="AR130" s="230"/>
      <c r="AS130" s="230"/>
      <c r="AT130" s="230"/>
      <c r="AU130" s="230"/>
      <c r="AV130" s="230"/>
      <c r="AW130" s="230"/>
      <c r="AX130" s="230"/>
      <c r="AY130" s="230"/>
      <c r="AZ130" s="230"/>
      <c r="BA130" s="230"/>
      <c r="BB130" s="230"/>
      <c r="BC130" s="230"/>
      <c r="BD130" s="230"/>
      <c r="BE130" s="230"/>
      <c r="BF130" s="230"/>
      <c r="BG130" s="230"/>
      <c r="BH130" s="230"/>
      <c r="BI130" s="230"/>
      <c r="BJ130" s="230"/>
      <c r="BK130" s="230"/>
      <c r="BL130" s="230"/>
      <c r="BM130" s="230"/>
      <c r="BN130" s="230"/>
      <c r="BO130" s="230"/>
      <c r="BP130" s="230"/>
      <c r="BQ130" s="230"/>
      <c r="BR130" s="230"/>
      <c r="BS130" s="230"/>
      <c r="BT130" s="230"/>
      <c r="BU130" s="230"/>
      <c r="BV130" s="230"/>
      <c r="BW130" s="230"/>
      <c r="BX130" s="230"/>
      <c r="BY130" s="230"/>
      <c r="BZ130" s="230"/>
      <c r="CA130" s="230"/>
      <c r="CB130" s="230"/>
      <c r="CC130" s="230"/>
      <c r="CD130" s="230"/>
      <c r="CE130" s="230"/>
      <c r="CF130" s="230"/>
      <c r="CG130" s="230"/>
      <c r="CH130" s="230"/>
      <c r="CI130" s="230"/>
      <c r="CJ130" s="230"/>
      <c r="CK130" s="230"/>
      <c r="CL130" s="230"/>
      <c r="CM130" s="230"/>
      <c r="CN130" s="230"/>
      <c r="CO130" s="230"/>
      <c r="CP130" s="230"/>
      <c r="CQ130" s="230"/>
      <c r="CR130" s="230"/>
      <c r="CS130" s="230"/>
      <c r="CT130" s="230"/>
      <c r="CU130" s="230"/>
      <c r="CV130" s="230"/>
      <c r="CW130" s="230"/>
      <c r="CX130" s="230"/>
      <c r="CY130" s="230"/>
      <c r="CZ130" s="230"/>
      <c r="DA130" s="230"/>
      <c r="DB130" s="230"/>
      <c r="DC130" s="230"/>
      <c r="DD130" s="230"/>
      <c r="DE130" s="230"/>
      <c r="DF130" s="230"/>
      <c r="DG130" s="230"/>
      <c r="DH130" s="230"/>
      <c r="DI130" s="230"/>
      <c r="DJ130" s="230"/>
      <c r="DK130" s="230"/>
      <c r="DL130" s="230"/>
      <c r="DM130" s="230"/>
      <c r="DN130" s="230"/>
      <c r="DO130" s="230"/>
      <c r="DP130" s="230"/>
      <c r="DQ130" s="230"/>
      <c r="DR130" s="230"/>
      <c r="DS130" s="230"/>
      <c r="DT130" s="230"/>
      <c r="DU130" s="230"/>
      <c r="DV130" s="230"/>
      <c r="DW130" s="230"/>
      <c r="DX130" s="230"/>
      <c r="DY130" s="230"/>
      <c r="DZ130" s="230"/>
      <c r="EA130" s="230"/>
      <c r="EB130" s="230"/>
      <c r="EC130" s="230"/>
      <c r="ED130" s="230"/>
      <c r="EE130" s="230"/>
      <c r="EF130" s="230"/>
      <c r="EG130" s="230"/>
      <c r="EH130" s="230"/>
      <c r="EI130" s="230"/>
      <c r="EJ130" s="230"/>
      <c r="EK130" s="230"/>
      <c r="EL130" s="230"/>
      <c r="EM130" s="230"/>
      <c r="EN130" s="230"/>
      <c r="EO130" s="230"/>
      <c r="EP130" s="230"/>
      <c r="EQ130" s="230"/>
      <c r="ER130" s="230"/>
      <c r="ES130" s="230"/>
      <c r="ET130" s="230"/>
      <c r="EU130" s="230"/>
      <c r="EV130" s="230"/>
      <c r="EW130" s="230"/>
      <c r="EX130" s="230"/>
      <c r="EY130" s="230"/>
      <c r="EZ130" s="230"/>
      <c r="FA130" s="230"/>
      <c r="FB130" s="230"/>
      <c r="FC130" s="230"/>
      <c r="FD130" s="230"/>
      <c r="FE130" s="230"/>
      <c r="FF130" s="230"/>
      <c r="FG130" s="230"/>
      <c r="FH130" s="230"/>
      <c r="FI130" s="230"/>
      <c r="FJ130" s="230"/>
      <c r="FK130" s="230"/>
      <c r="FL130" s="230"/>
      <c r="FM130" s="230"/>
      <c r="FN130" s="230"/>
      <c r="FO130" s="230"/>
      <c r="FP130" s="230"/>
      <c r="FQ130" s="230"/>
      <c r="FR130" s="230"/>
      <c r="FS130" s="230"/>
      <c r="FT130" s="230"/>
      <c r="FU130" s="230"/>
      <c r="FV130" s="230"/>
      <c r="FW130" s="230"/>
      <c r="FX130" s="230"/>
      <c r="FY130" s="230"/>
      <c r="FZ130" s="230"/>
      <c r="GA130" s="230"/>
      <c r="GB130" s="230"/>
      <c r="GC130" s="230"/>
      <c r="GD130" s="230"/>
      <c r="GE130" s="230"/>
      <c r="GF130" s="230"/>
      <c r="GG130" s="230"/>
      <c r="GH130" s="230"/>
      <c r="GI130" s="230"/>
      <c r="GJ130" s="230"/>
      <c r="GK130" s="230"/>
      <c r="GL130" s="230"/>
      <c r="GM130" s="230"/>
      <c r="GN130" s="230"/>
      <c r="GO130" s="230"/>
      <c r="GP130" s="230"/>
      <c r="GQ130" s="230"/>
      <c r="GR130" s="230"/>
      <c r="GS130" s="230"/>
      <c r="GT130" s="230"/>
      <c r="GU130" s="230"/>
      <c r="GV130" s="230"/>
      <c r="GW130" s="230"/>
      <c r="GX130" s="230"/>
      <c r="GY130" s="230"/>
      <c r="GZ130" s="230"/>
      <c r="HA130" s="230"/>
      <c r="HB130" s="230"/>
      <c r="HC130" s="230"/>
      <c r="HD130" s="230"/>
      <c r="HE130" s="230"/>
      <c r="HF130" s="230"/>
      <c r="HG130" s="230"/>
      <c r="HH130" s="230"/>
      <c r="HI130" s="230"/>
      <c r="HJ130" s="230"/>
      <c r="HK130" s="230"/>
      <c r="HL130" s="230"/>
      <c r="HM130" s="230"/>
      <c r="HN130" s="230"/>
      <c r="HO130" s="230"/>
      <c r="HP130" s="230"/>
      <c r="HQ130" s="230"/>
      <c r="HR130" s="230"/>
      <c r="HS130" s="230"/>
      <c r="HT130" s="230"/>
      <c r="HU130" s="230"/>
      <c r="HV130" s="230"/>
      <c r="HW130" s="230"/>
      <c r="HX130" s="230"/>
      <c r="HY130" s="230"/>
      <c r="HZ130" s="230"/>
      <c r="IA130" s="230"/>
      <c r="IB130" s="230"/>
      <c r="IC130" s="230"/>
      <c r="ID130" s="230"/>
      <c r="IE130" s="230"/>
      <c r="IF130" s="230"/>
      <c r="IG130" s="230"/>
      <c r="IH130" s="230"/>
      <c r="II130" s="230"/>
      <c r="IJ130" s="230"/>
      <c r="IK130" s="230"/>
      <c r="IL130" s="230"/>
      <c r="IM130" s="230"/>
      <c r="IN130" s="230"/>
      <c r="IO130" s="230"/>
      <c r="IP130" s="230"/>
    </row>
    <row r="131" spans="1:250" s="73" customFormat="1">
      <c r="A131" s="432" t="s">
        <v>1127</v>
      </c>
      <c r="B131" s="421">
        <f>7337.7*1.27</f>
        <v>9318.878999999999</v>
      </c>
      <c r="C131" s="193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0"/>
      <c r="AZ131" s="230"/>
      <c r="BA131" s="230"/>
      <c r="BB131" s="230"/>
      <c r="BC131" s="230"/>
      <c r="BD131" s="230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30"/>
      <c r="BS131" s="230"/>
      <c r="BT131" s="230"/>
      <c r="BU131" s="230"/>
      <c r="BV131" s="230"/>
      <c r="BW131" s="230"/>
      <c r="BX131" s="230"/>
      <c r="BY131" s="230"/>
      <c r="BZ131" s="230"/>
      <c r="CA131" s="230"/>
      <c r="CB131" s="230"/>
      <c r="CC131" s="230"/>
      <c r="CD131" s="230"/>
      <c r="CE131" s="230"/>
      <c r="CF131" s="230"/>
      <c r="CG131" s="230"/>
      <c r="CH131" s="230"/>
      <c r="CI131" s="230"/>
      <c r="CJ131" s="230"/>
      <c r="CK131" s="230"/>
      <c r="CL131" s="230"/>
      <c r="CM131" s="230"/>
      <c r="CN131" s="230"/>
      <c r="CO131" s="230"/>
      <c r="CP131" s="230"/>
      <c r="CQ131" s="230"/>
      <c r="CR131" s="230"/>
      <c r="CS131" s="230"/>
      <c r="CT131" s="230"/>
      <c r="CU131" s="230"/>
      <c r="CV131" s="230"/>
      <c r="CW131" s="230"/>
      <c r="CX131" s="230"/>
      <c r="CY131" s="230"/>
      <c r="CZ131" s="230"/>
      <c r="DA131" s="230"/>
      <c r="DB131" s="230"/>
      <c r="DC131" s="230"/>
      <c r="DD131" s="230"/>
      <c r="DE131" s="230"/>
      <c r="DF131" s="230"/>
      <c r="DG131" s="230"/>
      <c r="DH131" s="230"/>
      <c r="DI131" s="230"/>
      <c r="DJ131" s="230"/>
      <c r="DK131" s="230"/>
      <c r="DL131" s="230"/>
      <c r="DM131" s="230"/>
      <c r="DN131" s="230"/>
      <c r="DO131" s="230"/>
      <c r="DP131" s="230"/>
      <c r="DQ131" s="230"/>
      <c r="DR131" s="230"/>
      <c r="DS131" s="230"/>
      <c r="DT131" s="230"/>
      <c r="DU131" s="230"/>
      <c r="DV131" s="230"/>
      <c r="DW131" s="230"/>
      <c r="DX131" s="230"/>
      <c r="DY131" s="230"/>
      <c r="DZ131" s="230"/>
      <c r="EA131" s="230"/>
      <c r="EB131" s="230"/>
      <c r="EC131" s="230"/>
      <c r="ED131" s="230"/>
      <c r="EE131" s="230"/>
      <c r="EF131" s="230"/>
      <c r="EG131" s="230"/>
      <c r="EH131" s="230"/>
      <c r="EI131" s="230"/>
      <c r="EJ131" s="230"/>
      <c r="EK131" s="230"/>
      <c r="EL131" s="230"/>
      <c r="EM131" s="230"/>
      <c r="EN131" s="230"/>
      <c r="EO131" s="230"/>
      <c r="EP131" s="230"/>
      <c r="EQ131" s="230"/>
      <c r="ER131" s="230"/>
      <c r="ES131" s="230"/>
      <c r="ET131" s="230"/>
      <c r="EU131" s="230"/>
      <c r="EV131" s="230"/>
      <c r="EW131" s="230"/>
      <c r="EX131" s="230"/>
      <c r="EY131" s="230"/>
      <c r="EZ131" s="230"/>
      <c r="FA131" s="230"/>
      <c r="FB131" s="230"/>
      <c r="FC131" s="230"/>
      <c r="FD131" s="230"/>
      <c r="FE131" s="230"/>
      <c r="FF131" s="230"/>
      <c r="FG131" s="230"/>
      <c r="FH131" s="230"/>
      <c r="FI131" s="230"/>
      <c r="FJ131" s="230"/>
      <c r="FK131" s="230"/>
      <c r="FL131" s="230"/>
      <c r="FM131" s="230"/>
      <c r="FN131" s="230"/>
      <c r="FO131" s="230"/>
      <c r="FP131" s="230"/>
      <c r="FQ131" s="230"/>
      <c r="FR131" s="230"/>
      <c r="FS131" s="230"/>
      <c r="FT131" s="230"/>
      <c r="FU131" s="230"/>
      <c r="FV131" s="230"/>
      <c r="FW131" s="230"/>
      <c r="FX131" s="230"/>
      <c r="FY131" s="230"/>
      <c r="FZ131" s="230"/>
      <c r="GA131" s="230"/>
      <c r="GB131" s="230"/>
      <c r="GC131" s="230"/>
      <c r="GD131" s="230"/>
      <c r="GE131" s="230"/>
      <c r="GF131" s="230"/>
      <c r="GG131" s="230"/>
      <c r="GH131" s="230"/>
      <c r="GI131" s="230"/>
      <c r="GJ131" s="230"/>
      <c r="GK131" s="230"/>
      <c r="GL131" s="230"/>
      <c r="GM131" s="230"/>
      <c r="GN131" s="230"/>
      <c r="GO131" s="230"/>
      <c r="GP131" s="230"/>
      <c r="GQ131" s="230"/>
      <c r="GR131" s="230"/>
      <c r="GS131" s="230"/>
      <c r="GT131" s="230"/>
      <c r="GU131" s="230"/>
      <c r="GV131" s="230"/>
      <c r="GW131" s="230"/>
      <c r="GX131" s="230"/>
      <c r="GY131" s="230"/>
      <c r="GZ131" s="230"/>
      <c r="HA131" s="230"/>
      <c r="HB131" s="230"/>
      <c r="HC131" s="230"/>
      <c r="HD131" s="230"/>
      <c r="HE131" s="230"/>
      <c r="HF131" s="230"/>
      <c r="HG131" s="230"/>
      <c r="HH131" s="230"/>
      <c r="HI131" s="230"/>
      <c r="HJ131" s="230"/>
      <c r="HK131" s="230"/>
      <c r="HL131" s="230"/>
      <c r="HM131" s="230"/>
      <c r="HN131" s="230"/>
      <c r="HO131" s="230"/>
      <c r="HP131" s="230"/>
      <c r="HQ131" s="230"/>
      <c r="HR131" s="230"/>
      <c r="HS131" s="230"/>
      <c r="HT131" s="230"/>
      <c r="HU131" s="230"/>
      <c r="HV131" s="230"/>
      <c r="HW131" s="230"/>
      <c r="HX131" s="230"/>
      <c r="HY131" s="230"/>
      <c r="HZ131" s="230"/>
      <c r="IA131" s="230"/>
      <c r="IB131" s="230"/>
      <c r="IC131" s="230"/>
      <c r="ID131" s="230"/>
      <c r="IE131" s="230"/>
      <c r="IF131" s="230"/>
      <c r="IG131" s="230"/>
      <c r="IH131" s="230"/>
      <c r="II131" s="230"/>
      <c r="IJ131" s="230"/>
      <c r="IK131" s="230"/>
      <c r="IL131" s="230"/>
      <c r="IM131" s="230"/>
      <c r="IN131" s="230"/>
      <c r="IO131" s="230"/>
      <c r="IP131" s="230"/>
    </row>
    <row r="132" spans="1:250" s="73" customFormat="1">
      <c r="A132" s="432" t="s">
        <v>1128</v>
      </c>
      <c r="B132" s="421">
        <f>B116</f>
        <v>4883.8500000000004</v>
      </c>
      <c r="C132" s="193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30"/>
      <c r="AH132" s="230"/>
      <c r="AI132" s="230"/>
      <c r="AJ132" s="230"/>
      <c r="AK132" s="230"/>
      <c r="AL132" s="230"/>
      <c r="AM132" s="230"/>
      <c r="AN132" s="230"/>
      <c r="AO132" s="230"/>
      <c r="AP132" s="230"/>
      <c r="AQ132" s="230"/>
      <c r="AR132" s="230"/>
      <c r="AS132" s="230"/>
      <c r="AT132" s="230"/>
      <c r="AU132" s="230"/>
      <c r="AV132" s="230"/>
      <c r="AW132" s="230"/>
      <c r="AX132" s="230"/>
      <c r="AY132" s="230"/>
      <c r="AZ132" s="230"/>
      <c r="BA132" s="230"/>
      <c r="BB132" s="230"/>
      <c r="BC132" s="230"/>
      <c r="BD132" s="230"/>
      <c r="BE132" s="230"/>
      <c r="BF132" s="230"/>
      <c r="BG132" s="230"/>
      <c r="BH132" s="230"/>
      <c r="BI132" s="230"/>
      <c r="BJ132" s="230"/>
      <c r="BK132" s="230"/>
      <c r="BL132" s="230"/>
      <c r="BM132" s="230"/>
      <c r="BN132" s="230"/>
      <c r="BO132" s="230"/>
      <c r="BP132" s="230"/>
      <c r="BQ132" s="230"/>
      <c r="BR132" s="230"/>
      <c r="BS132" s="230"/>
      <c r="BT132" s="230"/>
      <c r="BU132" s="230"/>
      <c r="BV132" s="230"/>
      <c r="BW132" s="230"/>
      <c r="BX132" s="230"/>
      <c r="BY132" s="230"/>
      <c r="BZ132" s="230"/>
      <c r="CA132" s="230"/>
      <c r="CB132" s="230"/>
      <c r="CC132" s="230"/>
      <c r="CD132" s="230"/>
      <c r="CE132" s="230"/>
      <c r="CF132" s="230"/>
      <c r="CG132" s="230"/>
      <c r="CH132" s="230"/>
      <c r="CI132" s="230"/>
      <c r="CJ132" s="230"/>
      <c r="CK132" s="230"/>
      <c r="CL132" s="230"/>
      <c r="CM132" s="230"/>
      <c r="CN132" s="230"/>
      <c r="CO132" s="230"/>
      <c r="CP132" s="230"/>
      <c r="CQ132" s="230"/>
      <c r="CR132" s="230"/>
      <c r="CS132" s="230"/>
      <c r="CT132" s="230"/>
      <c r="CU132" s="230"/>
      <c r="CV132" s="230"/>
      <c r="CW132" s="230"/>
      <c r="CX132" s="230"/>
      <c r="CY132" s="230"/>
      <c r="CZ132" s="230"/>
      <c r="DA132" s="230"/>
      <c r="DB132" s="230"/>
      <c r="DC132" s="230"/>
      <c r="DD132" s="230"/>
      <c r="DE132" s="230"/>
      <c r="DF132" s="230"/>
      <c r="DG132" s="230"/>
      <c r="DH132" s="230"/>
      <c r="DI132" s="230"/>
      <c r="DJ132" s="230"/>
      <c r="DK132" s="230"/>
      <c r="DL132" s="230"/>
      <c r="DM132" s="230"/>
      <c r="DN132" s="230"/>
      <c r="DO132" s="230"/>
      <c r="DP132" s="230"/>
      <c r="DQ132" s="230"/>
      <c r="DR132" s="230"/>
      <c r="DS132" s="230"/>
      <c r="DT132" s="230"/>
      <c r="DU132" s="230"/>
      <c r="DV132" s="230"/>
      <c r="DW132" s="230"/>
      <c r="DX132" s="230"/>
      <c r="DY132" s="230"/>
      <c r="DZ132" s="230"/>
      <c r="EA132" s="230"/>
      <c r="EB132" s="230"/>
      <c r="EC132" s="230"/>
      <c r="ED132" s="230"/>
      <c r="EE132" s="230"/>
      <c r="EF132" s="230"/>
      <c r="EG132" s="230"/>
      <c r="EH132" s="230"/>
      <c r="EI132" s="230"/>
      <c r="EJ132" s="230"/>
      <c r="EK132" s="230"/>
      <c r="EL132" s="230"/>
      <c r="EM132" s="230"/>
      <c r="EN132" s="230"/>
      <c r="EO132" s="230"/>
      <c r="EP132" s="230"/>
      <c r="EQ132" s="230"/>
      <c r="ER132" s="230"/>
      <c r="ES132" s="230"/>
      <c r="ET132" s="230"/>
      <c r="EU132" s="230"/>
      <c r="EV132" s="230"/>
      <c r="EW132" s="230"/>
      <c r="EX132" s="230"/>
      <c r="EY132" s="230"/>
      <c r="EZ132" s="230"/>
      <c r="FA132" s="230"/>
      <c r="FB132" s="230"/>
      <c r="FC132" s="230"/>
      <c r="FD132" s="230"/>
      <c r="FE132" s="230"/>
      <c r="FF132" s="230"/>
      <c r="FG132" s="230"/>
      <c r="FH132" s="230"/>
      <c r="FI132" s="230"/>
      <c r="FJ132" s="230"/>
      <c r="FK132" s="230"/>
      <c r="FL132" s="230"/>
      <c r="FM132" s="230"/>
      <c r="FN132" s="230"/>
      <c r="FO132" s="230"/>
      <c r="FP132" s="230"/>
      <c r="FQ132" s="230"/>
      <c r="FR132" s="230"/>
      <c r="FS132" s="230"/>
      <c r="FT132" s="230"/>
      <c r="FU132" s="230"/>
      <c r="FV132" s="230"/>
      <c r="FW132" s="230"/>
      <c r="FX132" s="230"/>
      <c r="FY132" s="230"/>
      <c r="FZ132" s="230"/>
      <c r="GA132" s="230"/>
      <c r="GB132" s="230"/>
      <c r="GC132" s="230"/>
      <c r="GD132" s="230"/>
      <c r="GE132" s="230"/>
      <c r="GF132" s="230"/>
      <c r="GG132" s="230"/>
      <c r="GH132" s="230"/>
      <c r="GI132" s="230"/>
      <c r="GJ132" s="230"/>
      <c r="GK132" s="230"/>
      <c r="GL132" s="230"/>
      <c r="GM132" s="230"/>
      <c r="GN132" s="230"/>
      <c r="GO132" s="230"/>
      <c r="GP132" s="230"/>
      <c r="GQ132" s="230"/>
      <c r="GR132" s="230"/>
      <c r="GS132" s="230"/>
      <c r="GT132" s="230"/>
      <c r="GU132" s="230"/>
      <c r="GV132" s="230"/>
      <c r="GW132" s="230"/>
      <c r="GX132" s="230"/>
      <c r="GY132" s="230"/>
      <c r="GZ132" s="230"/>
      <c r="HA132" s="230"/>
      <c r="HB132" s="230"/>
      <c r="HC132" s="230"/>
      <c r="HD132" s="230"/>
      <c r="HE132" s="230"/>
      <c r="HF132" s="230"/>
      <c r="HG132" s="230"/>
      <c r="HH132" s="230"/>
      <c r="HI132" s="230"/>
      <c r="HJ132" s="230"/>
      <c r="HK132" s="230"/>
      <c r="HL132" s="230"/>
      <c r="HM132" s="230"/>
      <c r="HN132" s="230"/>
      <c r="HO132" s="230"/>
      <c r="HP132" s="230"/>
      <c r="HQ132" s="230"/>
      <c r="HR132" s="230"/>
      <c r="HS132" s="230"/>
      <c r="HT132" s="230"/>
      <c r="HU132" s="230"/>
      <c r="HV132" s="230"/>
      <c r="HW132" s="230"/>
      <c r="HX132" s="230"/>
      <c r="HY132" s="230"/>
      <c r="HZ132" s="230"/>
      <c r="IA132" s="230"/>
      <c r="IB132" s="230"/>
      <c r="IC132" s="230"/>
      <c r="ID132" s="230"/>
      <c r="IE132" s="230"/>
      <c r="IF132" s="230"/>
      <c r="IG132" s="230"/>
      <c r="IH132" s="230"/>
      <c r="II132" s="230"/>
      <c r="IJ132" s="230"/>
      <c r="IK132" s="230"/>
      <c r="IL132" s="230"/>
      <c r="IM132" s="230"/>
      <c r="IN132" s="230"/>
      <c r="IO132" s="230"/>
      <c r="IP132" s="230"/>
    </row>
    <row r="133" spans="1:250" s="73" customFormat="1">
      <c r="A133" s="432" t="s">
        <v>724</v>
      </c>
      <c r="B133" s="421">
        <f>2369.44*1.27</f>
        <v>3009.1887999999999</v>
      </c>
      <c r="C133" s="193">
        <f>ROUND(B133/B111/12,2)</f>
        <v>0.2</v>
      </c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M133" s="230"/>
      <c r="AN133" s="230"/>
      <c r="AO133" s="230"/>
      <c r="AP133" s="230"/>
      <c r="AQ133" s="230"/>
      <c r="AR133" s="230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230"/>
      <c r="BC133" s="230"/>
      <c r="BD133" s="230"/>
      <c r="BE133" s="230"/>
      <c r="BF133" s="230"/>
      <c r="BG133" s="230"/>
      <c r="BH133" s="230"/>
      <c r="BI133" s="230"/>
      <c r="BJ133" s="230"/>
      <c r="BK133" s="230"/>
      <c r="BL133" s="230"/>
      <c r="BM133" s="230"/>
      <c r="BN133" s="230"/>
      <c r="BO133" s="230"/>
      <c r="BP133" s="230"/>
      <c r="BQ133" s="230"/>
      <c r="BR133" s="230"/>
      <c r="BS133" s="230"/>
      <c r="BT133" s="230"/>
      <c r="BU133" s="230"/>
      <c r="BV133" s="230"/>
      <c r="BW133" s="230"/>
      <c r="BX133" s="230"/>
      <c r="BY133" s="230"/>
      <c r="BZ133" s="230"/>
      <c r="CA133" s="230"/>
      <c r="CB133" s="230"/>
      <c r="CC133" s="230"/>
      <c r="CD133" s="230"/>
      <c r="CE133" s="230"/>
      <c r="CF133" s="230"/>
      <c r="CG133" s="230"/>
      <c r="CH133" s="230"/>
      <c r="CI133" s="230"/>
      <c r="CJ133" s="230"/>
      <c r="CK133" s="230"/>
      <c r="CL133" s="230"/>
      <c r="CM133" s="230"/>
      <c r="CN133" s="230"/>
      <c r="CO133" s="230"/>
      <c r="CP133" s="230"/>
      <c r="CQ133" s="230"/>
      <c r="CR133" s="230"/>
      <c r="CS133" s="230"/>
      <c r="CT133" s="230"/>
      <c r="CU133" s="230"/>
      <c r="CV133" s="230"/>
      <c r="CW133" s="230"/>
      <c r="CX133" s="230"/>
      <c r="CY133" s="230"/>
      <c r="CZ133" s="230"/>
      <c r="DA133" s="230"/>
      <c r="DB133" s="230"/>
      <c r="DC133" s="230"/>
      <c r="DD133" s="230"/>
      <c r="DE133" s="230"/>
      <c r="DF133" s="230"/>
      <c r="DG133" s="230"/>
      <c r="DH133" s="230"/>
      <c r="DI133" s="230"/>
      <c r="DJ133" s="230"/>
      <c r="DK133" s="230"/>
      <c r="DL133" s="230"/>
      <c r="DM133" s="230"/>
      <c r="DN133" s="230"/>
      <c r="DO133" s="230"/>
      <c r="DP133" s="230"/>
      <c r="DQ133" s="230"/>
      <c r="DR133" s="230"/>
      <c r="DS133" s="230"/>
      <c r="DT133" s="230"/>
      <c r="DU133" s="230"/>
      <c r="DV133" s="230"/>
      <c r="DW133" s="230"/>
      <c r="DX133" s="230"/>
      <c r="DY133" s="230"/>
      <c r="DZ133" s="230"/>
      <c r="EA133" s="230"/>
      <c r="EB133" s="230"/>
      <c r="EC133" s="230"/>
      <c r="ED133" s="230"/>
      <c r="EE133" s="230"/>
      <c r="EF133" s="230"/>
      <c r="EG133" s="230"/>
      <c r="EH133" s="230"/>
      <c r="EI133" s="230"/>
      <c r="EJ133" s="230"/>
      <c r="EK133" s="230"/>
      <c r="EL133" s="230"/>
      <c r="EM133" s="230"/>
      <c r="EN133" s="230"/>
      <c r="EO133" s="230"/>
      <c r="EP133" s="230"/>
      <c r="EQ133" s="230"/>
      <c r="ER133" s="230"/>
      <c r="ES133" s="230"/>
      <c r="ET133" s="230"/>
      <c r="EU133" s="230"/>
      <c r="EV133" s="230"/>
      <c r="EW133" s="230"/>
      <c r="EX133" s="230"/>
      <c r="EY133" s="230"/>
      <c r="EZ133" s="230"/>
      <c r="FA133" s="230"/>
      <c r="FB133" s="230"/>
      <c r="FC133" s="230"/>
      <c r="FD133" s="230"/>
      <c r="FE133" s="230"/>
      <c r="FF133" s="230"/>
      <c r="FG133" s="230"/>
      <c r="FH133" s="230"/>
      <c r="FI133" s="230"/>
      <c r="FJ133" s="230"/>
      <c r="FK133" s="230"/>
      <c r="FL133" s="230"/>
      <c r="FM133" s="230"/>
      <c r="FN133" s="230"/>
      <c r="FO133" s="230"/>
      <c r="FP133" s="230"/>
      <c r="FQ133" s="230"/>
      <c r="FR133" s="230"/>
      <c r="FS133" s="230"/>
      <c r="FT133" s="230"/>
      <c r="FU133" s="230"/>
      <c r="FV133" s="230"/>
      <c r="FW133" s="230"/>
      <c r="FX133" s="230"/>
      <c r="FY133" s="230"/>
      <c r="FZ133" s="230"/>
      <c r="GA133" s="230"/>
      <c r="GB133" s="230"/>
      <c r="GC133" s="230"/>
      <c r="GD133" s="230"/>
      <c r="GE133" s="230"/>
      <c r="GF133" s="230"/>
      <c r="GG133" s="230"/>
      <c r="GH133" s="230"/>
      <c r="GI133" s="230"/>
      <c r="GJ133" s="230"/>
      <c r="GK133" s="230"/>
      <c r="GL133" s="230"/>
      <c r="GM133" s="230"/>
      <c r="GN133" s="230"/>
      <c r="GO133" s="230"/>
      <c r="GP133" s="230"/>
      <c r="GQ133" s="230"/>
      <c r="GR133" s="230"/>
      <c r="GS133" s="230"/>
      <c r="GT133" s="230"/>
      <c r="GU133" s="230"/>
      <c r="GV133" s="230"/>
      <c r="GW133" s="230"/>
      <c r="GX133" s="230"/>
      <c r="GY133" s="230"/>
      <c r="GZ133" s="230"/>
      <c r="HA133" s="230"/>
      <c r="HB133" s="230"/>
      <c r="HC133" s="230"/>
      <c r="HD133" s="230"/>
      <c r="HE133" s="230"/>
      <c r="HF133" s="230"/>
      <c r="HG133" s="230"/>
      <c r="HH133" s="230"/>
      <c r="HI133" s="230"/>
      <c r="HJ133" s="230"/>
      <c r="HK133" s="230"/>
      <c r="HL133" s="230"/>
      <c r="HM133" s="230"/>
      <c r="HN133" s="230"/>
      <c r="HO133" s="230"/>
      <c r="HP133" s="230"/>
      <c r="HQ133" s="230"/>
      <c r="HR133" s="230"/>
      <c r="HS133" s="230"/>
      <c r="HT133" s="230"/>
      <c r="HU133" s="230"/>
      <c r="HV133" s="230"/>
      <c r="HW133" s="230"/>
      <c r="HX133" s="230"/>
      <c r="HY133" s="230"/>
      <c r="HZ133" s="230"/>
      <c r="IA133" s="230"/>
      <c r="IB133" s="230"/>
      <c r="IC133" s="230"/>
      <c r="ID133" s="230"/>
      <c r="IE133" s="230"/>
      <c r="IF133" s="230"/>
      <c r="IG133" s="230"/>
      <c r="IH133" s="230"/>
      <c r="II133" s="230"/>
      <c r="IJ133" s="230"/>
      <c r="IK133" s="230"/>
      <c r="IL133" s="230"/>
      <c r="IM133" s="230"/>
      <c r="IN133" s="230"/>
      <c r="IO133" s="230"/>
      <c r="IP133" s="230"/>
    </row>
    <row r="134" spans="1:250" s="73" customFormat="1">
      <c r="A134" s="432" t="s">
        <v>1129</v>
      </c>
      <c r="B134" s="421">
        <v>206259</v>
      </c>
      <c r="C134" s="193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0"/>
      <c r="AP134" s="230"/>
      <c r="AQ134" s="230"/>
      <c r="AR134" s="230"/>
      <c r="AS134" s="230"/>
      <c r="AT134" s="230"/>
      <c r="AU134" s="230"/>
      <c r="AV134" s="230"/>
      <c r="AW134" s="230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  <c r="BQ134" s="230"/>
      <c r="BR134" s="230"/>
      <c r="BS134" s="230"/>
      <c r="BT134" s="230"/>
      <c r="BU134" s="230"/>
      <c r="BV134" s="230"/>
      <c r="BW134" s="230"/>
      <c r="BX134" s="230"/>
      <c r="BY134" s="230"/>
      <c r="BZ134" s="230"/>
      <c r="CA134" s="230"/>
      <c r="CB134" s="230"/>
      <c r="CC134" s="230"/>
      <c r="CD134" s="230"/>
      <c r="CE134" s="230"/>
      <c r="CF134" s="230"/>
      <c r="CG134" s="230"/>
      <c r="CH134" s="230"/>
      <c r="CI134" s="230"/>
      <c r="CJ134" s="230"/>
      <c r="CK134" s="230"/>
      <c r="CL134" s="230"/>
      <c r="CM134" s="230"/>
      <c r="CN134" s="230"/>
      <c r="CO134" s="230"/>
      <c r="CP134" s="230"/>
      <c r="CQ134" s="230"/>
      <c r="CR134" s="230"/>
      <c r="CS134" s="230"/>
      <c r="CT134" s="230"/>
      <c r="CU134" s="230"/>
      <c r="CV134" s="230"/>
      <c r="CW134" s="230"/>
      <c r="CX134" s="230"/>
      <c r="CY134" s="230"/>
      <c r="CZ134" s="230"/>
      <c r="DA134" s="230"/>
      <c r="DB134" s="230"/>
      <c r="DC134" s="230"/>
      <c r="DD134" s="230"/>
      <c r="DE134" s="230"/>
      <c r="DF134" s="230"/>
      <c r="DG134" s="230"/>
      <c r="DH134" s="230"/>
      <c r="DI134" s="230"/>
      <c r="DJ134" s="230"/>
      <c r="DK134" s="230"/>
      <c r="DL134" s="230"/>
      <c r="DM134" s="230"/>
      <c r="DN134" s="230"/>
      <c r="DO134" s="230"/>
      <c r="DP134" s="230"/>
      <c r="DQ134" s="230"/>
      <c r="DR134" s="230"/>
      <c r="DS134" s="230"/>
      <c r="DT134" s="230"/>
      <c r="DU134" s="230"/>
      <c r="DV134" s="230"/>
      <c r="DW134" s="230"/>
      <c r="DX134" s="230"/>
      <c r="DY134" s="230"/>
      <c r="DZ134" s="230"/>
      <c r="EA134" s="230"/>
      <c r="EB134" s="230"/>
      <c r="EC134" s="230"/>
      <c r="ED134" s="230"/>
      <c r="EE134" s="230"/>
      <c r="EF134" s="230"/>
      <c r="EG134" s="230"/>
      <c r="EH134" s="230"/>
      <c r="EI134" s="230"/>
      <c r="EJ134" s="230"/>
      <c r="EK134" s="230"/>
      <c r="EL134" s="230"/>
      <c r="EM134" s="230"/>
      <c r="EN134" s="230"/>
      <c r="EO134" s="230"/>
      <c r="EP134" s="230"/>
      <c r="EQ134" s="230"/>
      <c r="ER134" s="230"/>
      <c r="ES134" s="230"/>
      <c r="ET134" s="230"/>
      <c r="EU134" s="230"/>
      <c r="EV134" s="230"/>
      <c r="EW134" s="230"/>
      <c r="EX134" s="230"/>
      <c r="EY134" s="230"/>
      <c r="EZ134" s="230"/>
      <c r="FA134" s="230"/>
      <c r="FB134" s="230"/>
      <c r="FC134" s="230"/>
      <c r="FD134" s="230"/>
      <c r="FE134" s="230"/>
      <c r="FF134" s="230"/>
      <c r="FG134" s="230"/>
      <c r="FH134" s="230"/>
      <c r="FI134" s="230"/>
      <c r="FJ134" s="230"/>
      <c r="FK134" s="230"/>
      <c r="FL134" s="230"/>
      <c r="FM134" s="230"/>
      <c r="FN134" s="230"/>
      <c r="FO134" s="230"/>
      <c r="FP134" s="230"/>
      <c r="FQ134" s="230"/>
      <c r="FR134" s="230"/>
      <c r="FS134" s="230"/>
      <c r="FT134" s="230"/>
      <c r="FU134" s="230"/>
      <c r="FV134" s="230"/>
      <c r="FW134" s="230"/>
      <c r="FX134" s="230"/>
      <c r="FY134" s="230"/>
      <c r="FZ134" s="230"/>
      <c r="GA134" s="230"/>
      <c r="GB134" s="230"/>
      <c r="GC134" s="230"/>
      <c r="GD134" s="230"/>
      <c r="GE134" s="230"/>
      <c r="GF134" s="230"/>
      <c r="GG134" s="230"/>
      <c r="GH134" s="230"/>
      <c r="GI134" s="230"/>
      <c r="GJ134" s="230"/>
      <c r="GK134" s="230"/>
      <c r="GL134" s="230"/>
      <c r="GM134" s="230"/>
      <c r="GN134" s="230"/>
      <c r="GO134" s="230"/>
      <c r="GP134" s="230"/>
      <c r="GQ134" s="230"/>
      <c r="GR134" s="230"/>
      <c r="GS134" s="230"/>
      <c r="GT134" s="230"/>
      <c r="GU134" s="230"/>
      <c r="GV134" s="230"/>
      <c r="GW134" s="230"/>
      <c r="GX134" s="230"/>
      <c r="GY134" s="230"/>
      <c r="GZ134" s="230"/>
      <c r="HA134" s="230"/>
      <c r="HB134" s="230"/>
      <c r="HC134" s="230"/>
      <c r="HD134" s="230"/>
      <c r="HE134" s="230"/>
      <c r="HF134" s="230"/>
      <c r="HG134" s="230"/>
      <c r="HH134" s="230"/>
      <c r="HI134" s="230"/>
      <c r="HJ134" s="230"/>
      <c r="HK134" s="230"/>
      <c r="HL134" s="230"/>
      <c r="HM134" s="230"/>
      <c r="HN134" s="230"/>
      <c r="HO134" s="230"/>
      <c r="HP134" s="230"/>
      <c r="HQ134" s="230"/>
      <c r="HR134" s="230"/>
      <c r="HS134" s="230"/>
      <c r="HT134" s="230"/>
      <c r="HU134" s="230"/>
      <c r="HV134" s="230"/>
      <c r="HW134" s="230"/>
      <c r="HX134" s="230"/>
      <c r="HY134" s="230"/>
      <c r="HZ134" s="230"/>
      <c r="IA134" s="230"/>
      <c r="IB134" s="230"/>
      <c r="IC134" s="230"/>
      <c r="ID134" s="230"/>
      <c r="IE134" s="230"/>
      <c r="IF134" s="230"/>
      <c r="IG134" s="230"/>
      <c r="IH134" s="230"/>
      <c r="II134" s="230"/>
      <c r="IJ134" s="230"/>
      <c r="IK134" s="230"/>
      <c r="IL134" s="230"/>
      <c r="IM134" s="230"/>
      <c r="IN134" s="230"/>
      <c r="IO134" s="230"/>
      <c r="IP134" s="230"/>
    </row>
    <row r="135" spans="1:250" s="73" customFormat="1">
      <c r="A135" s="432" t="s">
        <v>1554</v>
      </c>
      <c r="B135" s="421">
        <f>B119-B121-B134</f>
        <v>-233985.19301791582</v>
      </c>
      <c r="C135" s="193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0"/>
      <c r="AP135" s="230"/>
      <c r="AQ135" s="230"/>
      <c r="AR135" s="230"/>
      <c r="AS135" s="230"/>
      <c r="AT135" s="230"/>
      <c r="AU135" s="230"/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  <c r="BQ135" s="230"/>
      <c r="BR135" s="230"/>
      <c r="BS135" s="230"/>
      <c r="BT135" s="230"/>
      <c r="BU135" s="230"/>
      <c r="BV135" s="230"/>
      <c r="BW135" s="230"/>
      <c r="BX135" s="230"/>
      <c r="BY135" s="230"/>
      <c r="BZ135" s="230"/>
      <c r="CA135" s="230"/>
      <c r="CB135" s="230"/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  <c r="CM135" s="230"/>
      <c r="CN135" s="230"/>
      <c r="CO135" s="230"/>
      <c r="CP135" s="230"/>
      <c r="CQ135" s="230"/>
      <c r="CR135" s="230"/>
      <c r="CS135" s="230"/>
      <c r="CT135" s="230"/>
      <c r="CU135" s="230"/>
      <c r="CV135" s="230"/>
      <c r="CW135" s="230"/>
      <c r="CX135" s="230"/>
      <c r="CY135" s="230"/>
      <c r="CZ135" s="230"/>
      <c r="DA135" s="230"/>
      <c r="DB135" s="230"/>
      <c r="DC135" s="230"/>
      <c r="DD135" s="230"/>
      <c r="DE135" s="230"/>
      <c r="DF135" s="230"/>
      <c r="DG135" s="230"/>
      <c r="DH135" s="230"/>
      <c r="DI135" s="230"/>
      <c r="DJ135" s="230"/>
      <c r="DK135" s="230"/>
      <c r="DL135" s="230"/>
      <c r="DM135" s="230"/>
      <c r="DN135" s="230"/>
      <c r="DO135" s="230"/>
      <c r="DP135" s="230"/>
      <c r="DQ135" s="230"/>
      <c r="DR135" s="230"/>
      <c r="DS135" s="230"/>
      <c r="DT135" s="230"/>
      <c r="DU135" s="230"/>
      <c r="DV135" s="230"/>
      <c r="DW135" s="230"/>
      <c r="DX135" s="230"/>
      <c r="DY135" s="230"/>
      <c r="DZ135" s="230"/>
      <c r="EA135" s="230"/>
      <c r="EB135" s="230"/>
      <c r="EC135" s="230"/>
      <c r="ED135" s="230"/>
      <c r="EE135" s="230"/>
      <c r="EF135" s="230"/>
      <c r="EG135" s="230"/>
      <c r="EH135" s="230"/>
      <c r="EI135" s="230"/>
      <c r="EJ135" s="230"/>
      <c r="EK135" s="230"/>
      <c r="EL135" s="230"/>
      <c r="EM135" s="230"/>
      <c r="EN135" s="230"/>
      <c r="EO135" s="230"/>
      <c r="EP135" s="230"/>
      <c r="EQ135" s="230"/>
      <c r="ER135" s="230"/>
      <c r="ES135" s="230"/>
      <c r="ET135" s="230"/>
      <c r="EU135" s="230"/>
      <c r="EV135" s="230"/>
      <c r="EW135" s="230"/>
      <c r="EX135" s="230"/>
      <c r="EY135" s="230"/>
      <c r="EZ135" s="230"/>
      <c r="FA135" s="230"/>
      <c r="FB135" s="230"/>
      <c r="FC135" s="230"/>
      <c r="FD135" s="230"/>
      <c r="FE135" s="230"/>
      <c r="FF135" s="230"/>
      <c r="FG135" s="230"/>
      <c r="FH135" s="230"/>
      <c r="FI135" s="230"/>
      <c r="FJ135" s="230"/>
      <c r="FK135" s="230"/>
      <c r="FL135" s="230"/>
      <c r="FM135" s="230"/>
      <c r="FN135" s="230"/>
      <c r="FO135" s="230"/>
      <c r="FP135" s="230"/>
      <c r="FQ135" s="230"/>
      <c r="FR135" s="230"/>
      <c r="FS135" s="230"/>
      <c r="FT135" s="230"/>
      <c r="FU135" s="230"/>
      <c r="FV135" s="230"/>
      <c r="FW135" s="230"/>
      <c r="FX135" s="230"/>
      <c r="FY135" s="230"/>
      <c r="FZ135" s="230"/>
      <c r="GA135" s="230"/>
      <c r="GB135" s="230"/>
      <c r="GC135" s="230"/>
      <c r="GD135" s="230"/>
      <c r="GE135" s="230"/>
      <c r="GF135" s="230"/>
      <c r="GG135" s="230"/>
      <c r="GH135" s="230"/>
      <c r="GI135" s="230"/>
      <c r="GJ135" s="230"/>
      <c r="GK135" s="230"/>
      <c r="GL135" s="230"/>
      <c r="GM135" s="230"/>
      <c r="GN135" s="230"/>
      <c r="GO135" s="230"/>
      <c r="GP135" s="230"/>
      <c r="GQ135" s="230"/>
      <c r="GR135" s="230"/>
      <c r="GS135" s="230"/>
      <c r="GT135" s="230"/>
      <c r="GU135" s="230"/>
      <c r="GV135" s="230"/>
      <c r="GW135" s="230"/>
      <c r="GX135" s="230"/>
      <c r="GY135" s="230"/>
      <c r="GZ135" s="230"/>
      <c r="HA135" s="230"/>
      <c r="HB135" s="230"/>
      <c r="HC135" s="230"/>
      <c r="HD135" s="230"/>
      <c r="HE135" s="230"/>
      <c r="HF135" s="230"/>
      <c r="HG135" s="230"/>
      <c r="HH135" s="230"/>
      <c r="HI135" s="230"/>
      <c r="HJ135" s="230"/>
      <c r="HK135" s="230"/>
      <c r="HL135" s="230"/>
      <c r="HM135" s="230"/>
      <c r="HN135" s="230"/>
      <c r="HO135" s="230"/>
      <c r="HP135" s="230"/>
      <c r="HQ135" s="230"/>
      <c r="HR135" s="230"/>
      <c r="HS135" s="230"/>
      <c r="HT135" s="230"/>
      <c r="HU135" s="230"/>
      <c r="HV135" s="230"/>
      <c r="HW135" s="230"/>
      <c r="HX135" s="230"/>
      <c r="HY135" s="230"/>
      <c r="HZ135" s="230"/>
      <c r="IA135" s="230"/>
      <c r="IB135" s="230"/>
      <c r="IC135" s="230"/>
      <c r="ID135" s="230"/>
      <c r="IE135" s="230"/>
      <c r="IF135" s="230"/>
      <c r="IG135" s="230"/>
      <c r="IH135" s="230"/>
      <c r="II135" s="230"/>
      <c r="IJ135" s="230"/>
      <c r="IK135" s="230"/>
      <c r="IL135" s="230"/>
      <c r="IM135" s="230"/>
      <c r="IN135" s="230"/>
      <c r="IO135" s="230"/>
      <c r="IP135" s="230"/>
    </row>
    <row r="136" spans="1:250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  <c r="BI136" s="179"/>
      <c r="BJ136" s="179"/>
      <c r="BK136" s="179"/>
      <c r="BL136" s="179"/>
      <c r="BM136" s="179"/>
      <c r="BN136" s="179"/>
      <c r="BO136" s="179"/>
      <c r="BP136" s="179"/>
      <c r="BQ136" s="179"/>
      <c r="BR136" s="179"/>
      <c r="BS136" s="179"/>
      <c r="BT136" s="179"/>
      <c r="BU136" s="179"/>
      <c r="BV136" s="179"/>
      <c r="BW136" s="179"/>
      <c r="BX136" s="179"/>
      <c r="BY136" s="179"/>
      <c r="BZ136" s="179"/>
      <c r="CA136" s="179"/>
      <c r="CB136" s="179"/>
      <c r="CC136" s="179"/>
      <c r="CD136" s="179"/>
      <c r="CE136" s="179"/>
      <c r="CF136" s="179"/>
      <c r="CG136" s="179"/>
      <c r="CH136" s="179"/>
      <c r="CI136" s="179"/>
      <c r="CJ136" s="179"/>
      <c r="CK136" s="179"/>
      <c r="CL136" s="179"/>
      <c r="CM136" s="179"/>
      <c r="CN136" s="179"/>
      <c r="CO136" s="179"/>
      <c r="CP136" s="179"/>
      <c r="CQ136" s="179"/>
      <c r="CR136" s="179"/>
      <c r="CS136" s="179"/>
      <c r="CT136" s="179"/>
      <c r="CU136" s="179"/>
      <c r="CV136" s="179"/>
      <c r="CW136" s="179"/>
      <c r="CX136" s="179"/>
      <c r="CY136" s="179"/>
      <c r="CZ136" s="179"/>
      <c r="DA136" s="179"/>
      <c r="DB136" s="179"/>
      <c r="DC136" s="179"/>
      <c r="DD136" s="179"/>
      <c r="DE136" s="179"/>
      <c r="DF136" s="179"/>
      <c r="DG136" s="179"/>
      <c r="DH136" s="179"/>
      <c r="DI136" s="179"/>
      <c r="DJ136" s="179"/>
      <c r="DK136" s="179"/>
      <c r="DL136" s="179"/>
      <c r="DM136" s="179"/>
      <c r="DN136" s="179"/>
      <c r="DO136" s="179"/>
      <c r="DP136" s="179"/>
      <c r="DQ136" s="179"/>
      <c r="DR136" s="179"/>
      <c r="DS136" s="179"/>
      <c r="DT136" s="179"/>
      <c r="DU136" s="179"/>
      <c r="DV136" s="179"/>
      <c r="DW136" s="179"/>
      <c r="DX136" s="179"/>
      <c r="DY136" s="179"/>
      <c r="DZ136" s="179"/>
      <c r="EA136" s="179"/>
      <c r="EB136" s="179"/>
      <c r="EC136" s="179"/>
      <c r="ED136" s="179"/>
      <c r="EE136" s="179"/>
      <c r="EF136" s="179"/>
      <c r="EG136" s="179"/>
      <c r="EH136" s="179"/>
      <c r="EI136" s="179"/>
      <c r="EJ136" s="179"/>
      <c r="EK136" s="179"/>
      <c r="EL136" s="179"/>
      <c r="EM136" s="179"/>
      <c r="EN136" s="179"/>
      <c r="EO136" s="179"/>
      <c r="EP136" s="179"/>
      <c r="EQ136" s="179"/>
      <c r="ER136" s="179"/>
      <c r="ES136" s="179"/>
      <c r="ET136" s="179"/>
      <c r="EU136" s="179"/>
      <c r="EV136" s="179"/>
      <c r="EW136" s="179"/>
      <c r="EX136" s="179"/>
      <c r="EY136" s="179"/>
      <c r="EZ136" s="179"/>
      <c r="FA136" s="179"/>
      <c r="FB136" s="179"/>
      <c r="FC136" s="179"/>
      <c r="FD136" s="179"/>
      <c r="FE136" s="179"/>
      <c r="FF136" s="179"/>
      <c r="FG136" s="179"/>
      <c r="FH136" s="179"/>
      <c r="FI136" s="179"/>
      <c r="FJ136" s="179"/>
      <c r="FK136" s="179"/>
      <c r="FL136" s="179"/>
      <c r="FM136" s="179"/>
      <c r="FN136" s="179"/>
      <c r="FO136" s="179"/>
      <c r="FP136" s="179"/>
      <c r="FQ136" s="179"/>
      <c r="FR136" s="179"/>
      <c r="FS136" s="179"/>
      <c r="FT136" s="179"/>
      <c r="FU136" s="179"/>
      <c r="FV136" s="179"/>
      <c r="FW136" s="179"/>
      <c r="FX136" s="179"/>
      <c r="FY136" s="179"/>
      <c r="FZ136" s="179"/>
      <c r="GA136" s="179"/>
      <c r="GB136" s="179"/>
      <c r="GC136" s="179"/>
      <c r="GD136" s="179"/>
      <c r="GE136" s="179"/>
      <c r="GF136" s="179"/>
      <c r="GG136" s="179"/>
      <c r="GH136" s="179"/>
      <c r="GI136" s="179"/>
      <c r="GJ136" s="179"/>
      <c r="GK136" s="179"/>
      <c r="GL136" s="179"/>
      <c r="GM136" s="179"/>
      <c r="GN136" s="179"/>
      <c r="GO136" s="179"/>
      <c r="GP136" s="179"/>
      <c r="GQ136" s="179"/>
      <c r="GR136" s="179"/>
      <c r="GS136" s="179"/>
      <c r="GT136" s="179"/>
      <c r="GU136" s="179"/>
      <c r="GV136" s="179"/>
      <c r="GW136" s="179"/>
      <c r="GX136" s="179"/>
      <c r="GY136" s="179"/>
      <c r="GZ136" s="179"/>
      <c r="HA136" s="179"/>
      <c r="HB136" s="179"/>
      <c r="HC136" s="179"/>
      <c r="HD136" s="179"/>
      <c r="HE136" s="179"/>
      <c r="HF136" s="179"/>
      <c r="HG136" s="179"/>
      <c r="HH136" s="179"/>
      <c r="HI136" s="179"/>
      <c r="HJ136" s="179"/>
      <c r="HK136" s="179"/>
      <c r="HL136" s="179"/>
      <c r="HM136" s="179"/>
      <c r="HN136" s="179"/>
      <c r="HO136" s="179"/>
      <c r="HP136" s="179"/>
      <c r="HQ136" s="179"/>
      <c r="HR136" s="179"/>
      <c r="HS136" s="179"/>
      <c r="HT136" s="179"/>
      <c r="HU136" s="179"/>
      <c r="HV136" s="179"/>
      <c r="HW136" s="179"/>
      <c r="HX136" s="179"/>
      <c r="HY136" s="179"/>
      <c r="HZ136" s="179"/>
      <c r="IA136" s="179"/>
      <c r="IB136" s="179"/>
      <c r="IC136" s="179"/>
      <c r="ID136" s="179"/>
      <c r="IE136" s="179"/>
      <c r="IF136" s="179"/>
      <c r="IG136" s="179"/>
      <c r="IH136" s="179"/>
      <c r="II136" s="179"/>
      <c r="IJ136" s="179"/>
      <c r="IK136" s="179"/>
      <c r="IL136" s="179"/>
      <c r="IM136" s="179"/>
      <c r="IN136" s="179"/>
      <c r="IO136" s="179"/>
      <c r="IP136" s="179"/>
    </row>
    <row r="137" spans="1:250">
      <c r="A137" s="406" t="s">
        <v>605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  <c r="BI137" s="179"/>
      <c r="BJ137" s="179"/>
      <c r="BK137" s="179"/>
      <c r="BL137" s="179"/>
      <c r="BM137" s="179"/>
      <c r="BN137" s="179"/>
      <c r="BO137" s="179"/>
      <c r="BP137" s="179"/>
      <c r="BQ137" s="179"/>
      <c r="BR137" s="179"/>
      <c r="BS137" s="179"/>
      <c r="BT137" s="179"/>
      <c r="BU137" s="179"/>
      <c r="BV137" s="179"/>
      <c r="BW137" s="179"/>
      <c r="BX137" s="179"/>
      <c r="BY137" s="179"/>
      <c r="BZ137" s="179"/>
      <c r="CA137" s="179"/>
      <c r="CB137" s="179"/>
      <c r="CC137" s="179"/>
      <c r="CD137" s="179"/>
      <c r="CE137" s="179"/>
      <c r="CF137" s="179"/>
      <c r="CG137" s="179"/>
      <c r="CH137" s="179"/>
      <c r="CI137" s="179"/>
      <c r="CJ137" s="179"/>
      <c r="CK137" s="179"/>
      <c r="CL137" s="179"/>
      <c r="CM137" s="179"/>
      <c r="CN137" s="179"/>
      <c r="CO137" s="179"/>
      <c r="CP137" s="179"/>
      <c r="CQ137" s="179"/>
      <c r="CR137" s="179"/>
      <c r="CS137" s="179"/>
      <c r="CT137" s="179"/>
      <c r="CU137" s="179"/>
      <c r="CV137" s="179"/>
      <c r="CW137" s="179"/>
      <c r="CX137" s="179"/>
      <c r="CY137" s="179"/>
      <c r="CZ137" s="179"/>
      <c r="DA137" s="179"/>
      <c r="DB137" s="179"/>
      <c r="DC137" s="179"/>
      <c r="DD137" s="179"/>
      <c r="DE137" s="179"/>
      <c r="DF137" s="179"/>
      <c r="DG137" s="179"/>
      <c r="DH137" s="179"/>
      <c r="DI137" s="179"/>
      <c r="DJ137" s="179"/>
      <c r="DK137" s="179"/>
      <c r="DL137" s="179"/>
      <c r="DM137" s="179"/>
      <c r="DN137" s="179"/>
      <c r="DO137" s="179"/>
      <c r="DP137" s="179"/>
      <c r="DQ137" s="179"/>
      <c r="DR137" s="179"/>
      <c r="DS137" s="179"/>
      <c r="DT137" s="179"/>
      <c r="DU137" s="179"/>
      <c r="DV137" s="179"/>
      <c r="DW137" s="179"/>
      <c r="DX137" s="179"/>
      <c r="DY137" s="179"/>
      <c r="DZ137" s="179"/>
      <c r="EA137" s="179"/>
      <c r="EB137" s="179"/>
      <c r="EC137" s="179"/>
      <c r="ED137" s="179"/>
      <c r="EE137" s="179"/>
      <c r="EF137" s="179"/>
      <c r="EG137" s="179"/>
      <c r="EH137" s="179"/>
      <c r="EI137" s="179"/>
      <c r="EJ137" s="179"/>
      <c r="EK137" s="179"/>
      <c r="EL137" s="179"/>
      <c r="EM137" s="179"/>
      <c r="EN137" s="179"/>
      <c r="EO137" s="179"/>
      <c r="EP137" s="179"/>
      <c r="EQ137" s="179"/>
      <c r="ER137" s="179"/>
      <c r="ES137" s="179"/>
      <c r="ET137" s="179"/>
      <c r="EU137" s="179"/>
      <c r="EV137" s="179"/>
      <c r="EW137" s="179"/>
      <c r="EX137" s="179"/>
      <c r="EY137" s="179"/>
      <c r="EZ137" s="179"/>
      <c r="FA137" s="179"/>
      <c r="FB137" s="179"/>
      <c r="FC137" s="179"/>
      <c r="FD137" s="179"/>
      <c r="FE137" s="179"/>
      <c r="FF137" s="179"/>
      <c r="FG137" s="179"/>
      <c r="FH137" s="179"/>
      <c r="FI137" s="179"/>
      <c r="FJ137" s="179"/>
      <c r="FK137" s="179"/>
      <c r="FL137" s="179"/>
      <c r="FM137" s="179"/>
      <c r="FN137" s="179"/>
      <c r="FO137" s="179"/>
      <c r="FP137" s="179"/>
      <c r="FQ137" s="179"/>
      <c r="FR137" s="179"/>
      <c r="FS137" s="179"/>
      <c r="FT137" s="179"/>
      <c r="FU137" s="179"/>
      <c r="FV137" s="179"/>
      <c r="FW137" s="179"/>
      <c r="FX137" s="179"/>
      <c r="FY137" s="179"/>
      <c r="FZ137" s="179"/>
      <c r="GA137" s="179"/>
      <c r="GB137" s="179"/>
      <c r="GC137" s="179"/>
      <c r="GD137" s="179"/>
      <c r="GE137" s="179"/>
      <c r="GF137" s="179"/>
      <c r="GG137" s="179"/>
      <c r="GH137" s="179"/>
      <c r="GI137" s="179"/>
      <c r="GJ137" s="179"/>
      <c r="GK137" s="179"/>
      <c r="GL137" s="179"/>
      <c r="GM137" s="179"/>
      <c r="GN137" s="179"/>
      <c r="GO137" s="179"/>
      <c r="GP137" s="179"/>
      <c r="GQ137" s="179"/>
      <c r="GR137" s="179"/>
      <c r="GS137" s="179"/>
      <c r="GT137" s="179"/>
      <c r="GU137" s="179"/>
      <c r="GV137" s="179"/>
      <c r="GW137" s="179"/>
      <c r="GX137" s="179"/>
      <c r="GY137" s="179"/>
      <c r="GZ137" s="179"/>
      <c r="HA137" s="179"/>
      <c r="HB137" s="179"/>
      <c r="HC137" s="179"/>
      <c r="HD137" s="179"/>
      <c r="HE137" s="179"/>
      <c r="HF137" s="179"/>
      <c r="HG137" s="179"/>
      <c r="HH137" s="179"/>
      <c r="HI137" s="179"/>
      <c r="HJ137" s="179"/>
      <c r="HK137" s="179"/>
      <c r="HL137" s="179"/>
      <c r="HM137" s="179"/>
      <c r="HN137" s="179"/>
      <c r="HO137" s="179"/>
      <c r="HP137" s="179"/>
      <c r="HQ137" s="179"/>
      <c r="HR137" s="179"/>
      <c r="HS137" s="179"/>
      <c r="HT137" s="179"/>
      <c r="HU137" s="179"/>
      <c r="HV137" s="179"/>
      <c r="HW137" s="179"/>
      <c r="HX137" s="179"/>
      <c r="HY137" s="179"/>
      <c r="HZ137" s="179"/>
      <c r="IA137" s="179"/>
      <c r="IB137" s="179"/>
      <c r="IC137" s="179"/>
      <c r="ID137" s="179"/>
      <c r="IE137" s="179"/>
      <c r="IF137" s="179"/>
      <c r="IG137" s="179"/>
      <c r="IH137" s="179"/>
      <c r="II137" s="179"/>
      <c r="IJ137" s="179"/>
      <c r="IK137" s="179"/>
      <c r="IL137" s="179"/>
      <c r="IM137" s="179"/>
      <c r="IN137" s="179"/>
      <c r="IO137" s="179"/>
      <c r="IP137" s="179"/>
    </row>
    <row r="139" spans="1:250">
      <c r="B139">
        <f>5.94*B111*12</f>
        <v>88130.592000000019</v>
      </c>
    </row>
    <row r="140" spans="1:250">
      <c r="B140" s="276">
        <f>B123+B124+B125+B126+B127+B128+B130+B131+B133</f>
        <v>468475.52301791584</v>
      </c>
    </row>
    <row r="141" spans="1:250">
      <c r="B141" s="276">
        <f>B139+B140</f>
        <v>556606.11501791584</v>
      </c>
    </row>
    <row r="142" spans="1:250">
      <c r="B142">
        <f>B141/B140</f>
        <v>1.1881220846550602</v>
      </c>
    </row>
  </sheetData>
  <mergeCells count="3">
    <mergeCell ref="A1:B1"/>
    <mergeCell ref="A2:B2"/>
    <mergeCell ref="A109:C109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R87"/>
  <sheetViews>
    <sheetView topLeftCell="A55" workbookViewId="0">
      <selection activeCell="A56" sqref="A56:C82"/>
    </sheetView>
  </sheetViews>
  <sheetFormatPr defaultRowHeight="15"/>
  <cols>
    <col min="1" max="1" width="66.7109375" customWidth="1"/>
    <col min="2" max="2" width="22.7109375" hidden="1" customWidth="1"/>
    <col min="3" max="3" width="14" customWidth="1"/>
  </cols>
  <sheetData>
    <row r="1" spans="1:4" ht="15.75">
      <c r="A1" s="701" t="s">
        <v>364</v>
      </c>
      <c r="B1" s="701"/>
      <c r="C1" s="701"/>
      <c r="D1" s="75"/>
    </row>
    <row r="2" spans="1:4" ht="15.75">
      <c r="A2" s="702" t="s">
        <v>1578</v>
      </c>
      <c r="B2" s="702"/>
      <c r="C2" s="702"/>
      <c r="D2" s="75"/>
    </row>
    <row r="3" spans="1:4" s="55" customFormat="1" ht="15.75">
      <c r="A3" s="702" t="s">
        <v>1579</v>
      </c>
      <c r="B3" s="702"/>
      <c r="C3" s="702"/>
      <c r="D3" s="74"/>
    </row>
    <row r="4" spans="1:4" s="55" customFormat="1" ht="15.75">
      <c r="A4" s="370"/>
      <c r="B4" s="86"/>
      <c r="C4" s="86"/>
      <c r="D4" s="74"/>
    </row>
    <row r="5" spans="1:4" ht="30">
      <c r="A5" s="371" t="s">
        <v>229</v>
      </c>
      <c r="B5" s="83" t="s">
        <v>231</v>
      </c>
      <c r="C5" s="82" t="s">
        <v>523</v>
      </c>
      <c r="D5" s="75"/>
    </row>
    <row r="6" spans="1:4" ht="15.75" thickBot="1">
      <c r="A6" s="371" t="s">
        <v>229</v>
      </c>
      <c r="B6" s="73"/>
      <c r="C6" s="73"/>
      <c r="D6" s="75"/>
    </row>
    <row r="7" spans="1:4" ht="30.75" thickBot="1">
      <c r="A7" s="380" t="s">
        <v>29</v>
      </c>
      <c r="B7" s="72"/>
      <c r="C7" s="72"/>
      <c r="D7" s="75"/>
    </row>
    <row r="8" spans="1:4" ht="15.75" thickBot="1">
      <c r="A8" s="383" t="s">
        <v>255</v>
      </c>
      <c r="B8" s="72"/>
      <c r="C8" s="72"/>
      <c r="D8" s="75"/>
    </row>
    <row r="9" spans="1:4" ht="30.75" thickBot="1">
      <c r="A9" s="384" t="s">
        <v>56</v>
      </c>
      <c r="B9" s="72"/>
      <c r="C9" s="72"/>
      <c r="D9" s="75"/>
    </row>
    <row r="10" spans="1:4" ht="15.75" thickBot="1">
      <c r="A10" s="380" t="s">
        <v>57</v>
      </c>
      <c r="B10" s="72"/>
      <c r="C10" s="72"/>
      <c r="D10" s="75"/>
    </row>
    <row r="11" spans="1:4" s="73" customFormat="1" ht="43.5" thickBot="1">
      <c r="A11" s="376" t="s">
        <v>1488</v>
      </c>
      <c r="B11" s="72" t="s">
        <v>282</v>
      </c>
      <c r="C11" s="72">
        <v>2</v>
      </c>
    </row>
    <row r="12" spans="1:4" s="73" customFormat="1" ht="28.5">
      <c r="A12" s="396" t="s">
        <v>1495</v>
      </c>
      <c r="B12" s="72" t="s">
        <v>1117</v>
      </c>
      <c r="C12" s="72">
        <v>2</v>
      </c>
    </row>
    <row r="13" spans="1:4" s="73" customFormat="1" ht="28.5">
      <c r="A13" s="396" t="s">
        <v>1496</v>
      </c>
      <c r="B13" s="94" t="s">
        <v>901</v>
      </c>
      <c r="C13" s="72">
        <v>3</v>
      </c>
    </row>
    <row r="14" spans="1:4" s="73" customFormat="1">
      <c r="A14" s="396" t="s">
        <v>1501</v>
      </c>
      <c r="B14" s="72" t="s">
        <v>901</v>
      </c>
      <c r="C14" s="72">
        <v>4</v>
      </c>
    </row>
    <row r="15" spans="1:4" s="73" customFormat="1">
      <c r="A15" s="381" t="s">
        <v>66</v>
      </c>
      <c r="B15" s="72"/>
      <c r="C15" s="72"/>
    </row>
    <row r="16" spans="1:4" s="73" customFormat="1">
      <c r="A16" s="156" t="s">
        <v>1494</v>
      </c>
      <c r="B16" s="72" t="s">
        <v>518</v>
      </c>
      <c r="C16" s="72">
        <v>1</v>
      </c>
    </row>
    <row r="17" spans="1:3" s="73" customFormat="1" ht="15.75" thickBot="1">
      <c r="A17" s="382" t="s">
        <v>590</v>
      </c>
      <c r="B17" s="72"/>
      <c r="C17" s="72"/>
    </row>
    <row r="18" spans="1:3" s="73" customFormat="1" ht="29.25" customHeight="1" thickBot="1">
      <c r="A18" s="390" t="s">
        <v>1458</v>
      </c>
      <c r="B18" s="72" t="s">
        <v>268</v>
      </c>
      <c r="C18" s="72">
        <v>6</v>
      </c>
    </row>
    <row r="19" spans="1:3" s="73" customFormat="1" ht="42.75">
      <c r="A19" s="89" t="s">
        <v>1461</v>
      </c>
      <c r="B19" s="94" t="s">
        <v>1462</v>
      </c>
      <c r="C19" s="72">
        <v>3.5</v>
      </c>
    </row>
    <row r="20" spans="1:3" s="73" customFormat="1" ht="30">
      <c r="A20" s="226" t="s">
        <v>1463</v>
      </c>
      <c r="B20" s="94" t="s">
        <v>1464</v>
      </c>
      <c r="C20" s="72">
        <v>8</v>
      </c>
    </row>
    <row r="21" spans="1:3" s="73" customFormat="1" ht="30">
      <c r="A21" s="378" t="s">
        <v>1465</v>
      </c>
      <c r="B21" s="94" t="s">
        <v>1466</v>
      </c>
      <c r="C21" s="72">
        <v>3</v>
      </c>
    </row>
    <row r="22" spans="1:3" s="73" customFormat="1" ht="29.25" customHeight="1">
      <c r="A22" s="372" t="s">
        <v>1467</v>
      </c>
      <c r="B22" s="94" t="s">
        <v>1468</v>
      </c>
      <c r="C22" s="72">
        <v>1.5</v>
      </c>
    </row>
    <row r="23" spans="1:3" s="73" customFormat="1" ht="42.75" customHeight="1">
      <c r="A23" s="372" t="s">
        <v>1469</v>
      </c>
      <c r="B23" s="94" t="s">
        <v>1470</v>
      </c>
      <c r="C23" s="72">
        <v>8</v>
      </c>
    </row>
    <row r="24" spans="1:3" s="73" customFormat="1" ht="20.25" customHeight="1">
      <c r="A24" s="372" t="s">
        <v>1472</v>
      </c>
      <c r="B24" s="72" t="s">
        <v>1473</v>
      </c>
      <c r="C24" s="72">
        <v>3</v>
      </c>
    </row>
    <row r="25" spans="1:3" s="73" customFormat="1" ht="22.5" customHeight="1">
      <c r="A25" s="377" t="s">
        <v>1474</v>
      </c>
      <c r="B25" s="94" t="s">
        <v>1475</v>
      </c>
      <c r="C25" s="72">
        <v>4</v>
      </c>
    </row>
    <row r="26" spans="1:3" s="73" customFormat="1">
      <c r="A26" s="373" t="s">
        <v>1476</v>
      </c>
      <c r="B26" s="72" t="s">
        <v>257</v>
      </c>
      <c r="C26" s="72">
        <v>1</v>
      </c>
    </row>
    <row r="27" spans="1:3" s="73" customFormat="1" ht="20.25" customHeight="1">
      <c r="A27" s="372" t="s">
        <v>1477</v>
      </c>
      <c r="B27" s="72" t="s">
        <v>266</v>
      </c>
      <c r="C27" s="72">
        <v>1</v>
      </c>
    </row>
    <row r="28" spans="1:3" s="73" customFormat="1" ht="29.25" customHeight="1">
      <c r="A28" s="372" t="s">
        <v>1478</v>
      </c>
      <c r="B28" s="94" t="s">
        <v>655</v>
      </c>
      <c r="C28" s="72">
        <v>3</v>
      </c>
    </row>
    <row r="29" spans="1:3" s="73" customFormat="1" ht="32.25" customHeight="1">
      <c r="A29" s="372" t="s">
        <v>1480</v>
      </c>
      <c r="B29" s="72" t="s">
        <v>353</v>
      </c>
      <c r="C29" s="72">
        <v>3</v>
      </c>
    </row>
    <row r="30" spans="1:3" s="73" customFormat="1" ht="33.75" customHeight="1">
      <c r="A30" s="372" t="s">
        <v>1481</v>
      </c>
      <c r="B30" s="72" t="s">
        <v>868</v>
      </c>
      <c r="C30" s="72">
        <v>2</v>
      </c>
    </row>
    <row r="31" spans="1:3" s="73" customFormat="1" ht="59.25" customHeight="1">
      <c r="A31" s="372" t="s">
        <v>1482</v>
      </c>
      <c r="B31" s="72" t="s">
        <v>518</v>
      </c>
      <c r="C31" s="72">
        <v>2</v>
      </c>
    </row>
    <row r="32" spans="1:3" s="73" customFormat="1" ht="30" customHeight="1">
      <c r="A32" s="372" t="s">
        <v>1483</v>
      </c>
      <c r="B32" s="72" t="s">
        <v>1484</v>
      </c>
      <c r="C32" s="72">
        <v>2</v>
      </c>
    </row>
    <row r="33" spans="1:3" s="73" customFormat="1" ht="34.5" customHeight="1">
      <c r="A33" s="372" t="s">
        <v>1485</v>
      </c>
      <c r="B33" s="72" t="s">
        <v>372</v>
      </c>
      <c r="C33" s="72">
        <v>4</v>
      </c>
    </row>
    <row r="34" spans="1:3" s="73" customFormat="1" ht="51.75" customHeight="1">
      <c r="A34" s="394" t="s">
        <v>1490</v>
      </c>
      <c r="B34" s="72" t="s">
        <v>607</v>
      </c>
      <c r="C34" s="72">
        <v>2</v>
      </c>
    </row>
    <row r="35" spans="1:3" s="73" customFormat="1" ht="21" customHeight="1">
      <c r="A35" s="394" t="s">
        <v>1491</v>
      </c>
      <c r="B35" s="72" t="s">
        <v>866</v>
      </c>
      <c r="C35" s="72">
        <v>1</v>
      </c>
    </row>
    <row r="36" spans="1:3" s="73" customFormat="1" ht="33.75" customHeight="1">
      <c r="A36" s="394" t="s">
        <v>1493</v>
      </c>
      <c r="B36" s="72" t="s">
        <v>365</v>
      </c>
      <c r="C36" s="72">
        <v>2</v>
      </c>
    </row>
    <row r="37" spans="1:3" s="73" customFormat="1" ht="18" customHeight="1">
      <c r="A37" s="394" t="s">
        <v>1497</v>
      </c>
      <c r="B37" s="72" t="s">
        <v>518</v>
      </c>
      <c r="C37" s="72">
        <v>1</v>
      </c>
    </row>
    <row r="38" spans="1:3" s="73" customFormat="1" ht="33.75" customHeight="1">
      <c r="A38" s="394" t="s">
        <v>1498</v>
      </c>
      <c r="B38" s="72" t="s">
        <v>324</v>
      </c>
      <c r="C38" s="72">
        <v>8</v>
      </c>
    </row>
    <row r="39" spans="1:3" s="73" customFormat="1" ht="48.75" customHeight="1">
      <c r="A39" s="394" t="s">
        <v>1499</v>
      </c>
      <c r="B39" s="72" t="s">
        <v>316</v>
      </c>
      <c r="C39" s="72">
        <v>8</v>
      </c>
    </row>
    <row r="40" spans="1:3" s="73" customFormat="1" ht="23.25" customHeight="1" thickBot="1">
      <c r="A40" s="379" t="s">
        <v>102</v>
      </c>
      <c r="B40" s="72"/>
      <c r="C40" s="72"/>
    </row>
    <row r="41" spans="1:3" s="73" customFormat="1" ht="15" customHeight="1">
      <c r="A41" s="386" t="s">
        <v>1457</v>
      </c>
      <c r="B41" s="72" t="s">
        <v>241</v>
      </c>
      <c r="C41" s="72">
        <v>1</v>
      </c>
    </row>
    <row r="42" spans="1:3" s="73" customFormat="1" ht="28.5">
      <c r="A42" s="378" t="s">
        <v>1459</v>
      </c>
      <c r="B42" s="72" t="s">
        <v>241</v>
      </c>
      <c r="C42" s="72">
        <v>1</v>
      </c>
    </row>
    <row r="43" spans="1:3" s="73" customFormat="1">
      <c r="A43" s="378" t="s">
        <v>1460</v>
      </c>
      <c r="B43" s="404" t="s">
        <v>241</v>
      </c>
      <c r="C43" s="72">
        <v>0.1</v>
      </c>
    </row>
    <row r="44" spans="1:3" s="73" customFormat="1" ht="28.5">
      <c r="A44" s="378" t="s">
        <v>1471</v>
      </c>
      <c r="B44" s="72" t="s">
        <v>241</v>
      </c>
      <c r="C44" s="72">
        <v>1</v>
      </c>
    </row>
    <row r="45" spans="1:3" s="73" customFormat="1" ht="28.5">
      <c r="A45" s="378" t="s">
        <v>1479</v>
      </c>
      <c r="B45" s="72" t="s">
        <v>518</v>
      </c>
      <c r="C45" s="72">
        <v>1</v>
      </c>
    </row>
    <row r="46" spans="1:3" s="73" customFormat="1" ht="28.5">
      <c r="A46" s="378" t="s">
        <v>1486</v>
      </c>
      <c r="B46" s="72" t="s">
        <v>241</v>
      </c>
      <c r="C46" s="72">
        <v>1</v>
      </c>
    </row>
    <row r="47" spans="1:3" s="73" customFormat="1" ht="42.75">
      <c r="A47" s="378" t="s">
        <v>1487</v>
      </c>
      <c r="B47" s="72" t="s">
        <v>241</v>
      </c>
      <c r="C47" s="72">
        <v>4</v>
      </c>
    </row>
    <row r="48" spans="1:3" s="73" customFormat="1">
      <c r="A48" s="378" t="s">
        <v>1489</v>
      </c>
      <c r="B48" s="72" t="s">
        <v>241</v>
      </c>
      <c r="C48" s="72">
        <v>1</v>
      </c>
    </row>
    <row r="49" spans="1:252" s="73" customFormat="1" ht="18.75" customHeight="1">
      <c r="A49" s="400" t="s">
        <v>1492</v>
      </c>
      <c r="B49" s="72" t="s">
        <v>241</v>
      </c>
      <c r="C49" s="72">
        <v>1</v>
      </c>
    </row>
    <row r="50" spans="1:252" s="73" customFormat="1" ht="18.75" customHeight="1">
      <c r="A50" s="400" t="s">
        <v>1500</v>
      </c>
      <c r="B50" s="72" t="s">
        <v>253</v>
      </c>
      <c r="C50" s="72">
        <v>1</v>
      </c>
    </row>
    <row r="51" spans="1:252" s="73" customFormat="1" ht="18.75" customHeight="1">
      <c r="A51" s="400" t="s">
        <v>1502</v>
      </c>
      <c r="B51" s="72" t="s">
        <v>241</v>
      </c>
      <c r="C51" s="72">
        <v>1</v>
      </c>
    </row>
    <row r="52" spans="1:252" s="73" customFormat="1" ht="15.75" thickBot="1">
      <c r="A52" s="407" t="s">
        <v>659</v>
      </c>
      <c r="B52" s="72"/>
      <c r="C52" s="72">
        <f>SUM(C11:C51)</f>
        <v>102.1</v>
      </c>
      <c r="D52" s="73">
        <v>57</v>
      </c>
    </row>
    <row r="53" spans="1:252">
      <c r="A53" s="78"/>
      <c r="B53" s="75"/>
      <c r="C53" s="75"/>
    </row>
    <row r="54" spans="1:252" ht="15.75">
      <c r="A54" s="727" t="s">
        <v>233</v>
      </c>
      <c r="B54" s="727"/>
      <c r="C54" s="727"/>
    </row>
    <row r="55" spans="1:252">
      <c r="A55" s="75"/>
      <c r="B55" s="75"/>
      <c r="C55" s="75"/>
    </row>
    <row r="56" spans="1:252" s="197" customFormat="1" ht="40.5" customHeight="1">
      <c r="A56" s="653" t="s">
        <v>1560</v>
      </c>
      <c r="B56" s="213"/>
      <c r="C56" s="213"/>
      <c r="IR56" s="75"/>
    </row>
    <row r="57" spans="1:252" s="230" customFormat="1" ht="48" customHeight="1">
      <c r="A57" s="426" t="s">
        <v>654</v>
      </c>
      <c r="B57" s="193"/>
      <c r="C57" s="653" t="s">
        <v>1132</v>
      </c>
      <c r="IR57" s="73"/>
    </row>
    <row r="58" spans="1:252" s="73" customFormat="1">
      <c r="A58" s="652" t="s">
        <v>593</v>
      </c>
      <c r="B58" s="72"/>
      <c r="C58" s="196">
        <v>1064.0999999999999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0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0"/>
      <c r="ET58" s="230"/>
      <c r="EU58" s="230"/>
      <c r="EV58" s="230"/>
      <c r="EW58" s="230"/>
      <c r="EX58" s="230"/>
      <c r="EY58" s="230"/>
      <c r="EZ58" s="230"/>
      <c r="FA58" s="230"/>
      <c r="FB58" s="230"/>
      <c r="FC58" s="230"/>
      <c r="FD58" s="230"/>
      <c r="FE58" s="230"/>
      <c r="FF58" s="230"/>
      <c r="FG58" s="230"/>
      <c r="FH58" s="230"/>
      <c r="FI58" s="230"/>
      <c r="FJ58" s="230"/>
      <c r="FK58" s="230"/>
      <c r="FL58" s="230"/>
      <c r="FM58" s="230"/>
      <c r="FN58" s="230"/>
      <c r="FO58" s="230"/>
      <c r="FP58" s="230"/>
      <c r="FQ58" s="230"/>
      <c r="FR58" s="230"/>
      <c r="FS58" s="230"/>
      <c r="FT58" s="230"/>
      <c r="FU58" s="230"/>
      <c r="FV58" s="230"/>
      <c r="FW58" s="230"/>
      <c r="FX58" s="230"/>
      <c r="FY58" s="230"/>
      <c r="FZ58" s="230"/>
      <c r="GA58" s="230"/>
      <c r="GB58" s="230"/>
      <c r="GC58" s="230"/>
      <c r="GD58" s="230"/>
      <c r="GE58" s="230"/>
      <c r="GF58" s="230"/>
      <c r="GG58" s="230"/>
      <c r="GH58" s="230"/>
      <c r="GI58" s="230"/>
      <c r="GJ58" s="230"/>
      <c r="GK58" s="230"/>
      <c r="GL58" s="230"/>
      <c r="GM58" s="230"/>
      <c r="GN58" s="230"/>
      <c r="GO58" s="230"/>
      <c r="GP58" s="230"/>
      <c r="GQ58" s="230"/>
      <c r="GR58" s="230"/>
      <c r="GS58" s="230"/>
      <c r="GT58" s="230"/>
      <c r="GU58" s="230"/>
      <c r="GV58" s="230"/>
      <c r="GW58" s="230"/>
      <c r="GX58" s="230"/>
      <c r="GY58" s="230"/>
      <c r="GZ58" s="230"/>
      <c r="HA58" s="230"/>
      <c r="HB58" s="230"/>
      <c r="HC58" s="230"/>
      <c r="HD58" s="230"/>
      <c r="HE58" s="230"/>
      <c r="HF58" s="230"/>
      <c r="HG58" s="230"/>
      <c r="HH58" s="230"/>
      <c r="HI58" s="230"/>
      <c r="HJ58" s="230"/>
      <c r="HK58" s="230"/>
      <c r="HL58" s="230"/>
      <c r="HM58" s="230"/>
      <c r="HN58" s="230"/>
      <c r="HO58" s="230"/>
      <c r="HP58" s="230"/>
      <c r="HQ58" s="230"/>
      <c r="HR58" s="230"/>
      <c r="HS58" s="230"/>
      <c r="HT58" s="230"/>
      <c r="HU58" s="230"/>
      <c r="HV58" s="230"/>
      <c r="HW58" s="230"/>
      <c r="HX58" s="230"/>
      <c r="HY58" s="230"/>
      <c r="HZ58" s="230"/>
      <c r="IA58" s="230"/>
      <c r="IB58" s="230"/>
      <c r="IC58" s="230"/>
      <c r="ID58" s="230"/>
      <c r="IE58" s="230"/>
      <c r="IF58" s="230"/>
      <c r="IG58" s="230"/>
      <c r="IH58" s="230"/>
      <c r="II58" s="230"/>
      <c r="IJ58" s="230"/>
      <c r="IK58" s="230"/>
      <c r="IL58" s="230"/>
      <c r="IM58" s="230"/>
      <c r="IN58" s="230"/>
      <c r="IO58" s="230"/>
      <c r="IP58" s="230"/>
      <c r="IQ58" s="230"/>
    </row>
    <row r="59" spans="1:252" s="73" customFormat="1">
      <c r="A59" s="652" t="s">
        <v>594</v>
      </c>
      <c r="B59" s="72"/>
      <c r="C59" s="196">
        <v>17.829999999999998</v>
      </c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  <c r="DT59" s="230"/>
      <c r="DU59" s="230"/>
      <c r="DV59" s="230"/>
      <c r="DW59" s="230"/>
      <c r="DX59" s="230"/>
      <c r="DY59" s="230"/>
      <c r="DZ59" s="230"/>
      <c r="EA59" s="230"/>
      <c r="EB59" s="230"/>
      <c r="EC59" s="230"/>
      <c r="ED59" s="230"/>
      <c r="EE59" s="230"/>
      <c r="EF59" s="230"/>
      <c r="EG59" s="230"/>
      <c r="EH59" s="230"/>
      <c r="EI59" s="230"/>
      <c r="EJ59" s="230"/>
      <c r="EK59" s="230"/>
      <c r="EL59" s="230"/>
      <c r="EM59" s="230"/>
      <c r="EN59" s="230"/>
      <c r="EO59" s="230"/>
      <c r="EP59" s="230"/>
      <c r="EQ59" s="230"/>
      <c r="ER59" s="230"/>
      <c r="ES59" s="230"/>
      <c r="ET59" s="230"/>
      <c r="EU59" s="230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230"/>
      <c r="FO59" s="230"/>
      <c r="FP59" s="230"/>
      <c r="FQ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0"/>
      <c r="GD59" s="230"/>
      <c r="GE59" s="230"/>
      <c r="GF59" s="230"/>
      <c r="GG59" s="230"/>
      <c r="GH59" s="230"/>
      <c r="GI59" s="230"/>
      <c r="GJ59" s="230"/>
      <c r="GK59" s="230"/>
      <c r="GL59" s="230"/>
      <c r="GM59" s="230"/>
      <c r="GN59" s="230"/>
      <c r="GO59" s="230"/>
      <c r="GP59" s="230"/>
      <c r="GQ59" s="230"/>
      <c r="GR59" s="230"/>
      <c r="GS59" s="230"/>
      <c r="GT59" s="230"/>
      <c r="GU59" s="230"/>
      <c r="GV59" s="230"/>
      <c r="GW59" s="230"/>
      <c r="GX59" s="230"/>
      <c r="GY59" s="230"/>
      <c r="GZ59" s="230"/>
      <c r="HA59" s="230"/>
      <c r="HB59" s="230"/>
      <c r="HC59" s="230"/>
      <c r="HD59" s="230"/>
      <c r="HE59" s="230"/>
      <c r="HF59" s="230"/>
      <c r="HG59" s="230"/>
      <c r="HH59" s="230"/>
      <c r="HI59" s="230"/>
      <c r="HJ59" s="230"/>
      <c r="HK59" s="230"/>
      <c r="HL59" s="230"/>
      <c r="HM59" s="230"/>
      <c r="HN59" s="230"/>
      <c r="HO59" s="230"/>
      <c r="HP59" s="230"/>
      <c r="HQ59" s="230"/>
      <c r="HR59" s="230"/>
      <c r="HS59" s="230"/>
      <c r="HT59" s="230"/>
      <c r="HU59" s="230"/>
      <c r="HV59" s="230"/>
      <c r="HW59" s="230"/>
      <c r="HX59" s="230"/>
      <c r="HY59" s="230"/>
      <c r="HZ59" s="230"/>
      <c r="IA59" s="230"/>
      <c r="IB59" s="230"/>
      <c r="IC59" s="230"/>
      <c r="ID59" s="230"/>
      <c r="IE59" s="230"/>
      <c r="IF59" s="230"/>
      <c r="IG59" s="230"/>
      <c r="IH59" s="230"/>
      <c r="II59" s="230"/>
      <c r="IJ59" s="230"/>
      <c r="IK59" s="230"/>
      <c r="IL59" s="230"/>
      <c r="IM59" s="230"/>
      <c r="IN59" s="230"/>
      <c r="IO59" s="230"/>
      <c r="IP59" s="230"/>
      <c r="IQ59" s="230"/>
    </row>
    <row r="60" spans="1:252" s="73" customFormat="1">
      <c r="A60" s="650" t="s">
        <v>711</v>
      </c>
      <c r="B60" s="72"/>
      <c r="C60" s="193">
        <v>54146.67</v>
      </c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  <c r="FF60" s="230"/>
      <c r="FG60" s="230"/>
      <c r="FH60" s="230"/>
      <c r="FI60" s="230"/>
      <c r="FJ60" s="230"/>
      <c r="FK60" s="230"/>
      <c r="FL60" s="230"/>
      <c r="FM60" s="230"/>
      <c r="FN60" s="230"/>
      <c r="FO60" s="230"/>
      <c r="FP60" s="230"/>
      <c r="FQ60" s="230"/>
      <c r="FR60" s="230"/>
      <c r="FS60" s="230"/>
      <c r="FT60" s="230"/>
      <c r="FU60" s="230"/>
      <c r="FV60" s="230"/>
      <c r="FW60" s="230"/>
      <c r="FX60" s="230"/>
      <c r="FY60" s="230"/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230"/>
      <c r="GK60" s="230"/>
      <c r="GL60" s="230"/>
      <c r="GM60" s="230"/>
      <c r="GN60" s="230"/>
      <c r="GO60" s="230"/>
      <c r="GP60" s="230"/>
      <c r="GQ60" s="230"/>
      <c r="GR60" s="230"/>
      <c r="GS60" s="230"/>
      <c r="GT60" s="230"/>
      <c r="GU60" s="230"/>
      <c r="GV60" s="230"/>
      <c r="GW60" s="230"/>
      <c r="GX60" s="230"/>
      <c r="GY60" s="230"/>
      <c r="GZ60" s="230"/>
      <c r="HA60" s="230"/>
      <c r="HB60" s="230"/>
      <c r="HC60" s="230"/>
      <c r="HD60" s="230"/>
      <c r="HE60" s="230"/>
      <c r="HF60" s="230"/>
      <c r="HG60" s="230"/>
      <c r="HH60" s="230"/>
      <c r="HI60" s="230"/>
      <c r="HJ60" s="230"/>
      <c r="HK60" s="230"/>
      <c r="HL60" s="230"/>
      <c r="HM60" s="230"/>
      <c r="HN60" s="230"/>
      <c r="HO60" s="230"/>
      <c r="HP60" s="230"/>
      <c r="HQ60" s="230"/>
      <c r="HR60" s="230"/>
      <c r="HS60" s="230"/>
      <c r="HT60" s="230"/>
      <c r="HU60" s="230"/>
      <c r="HV60" s="230"/>
      <c r="HW60" s="230"/>
      <c r="HX60" s="230"/>
      <c r="HY60" s="230"/>
      <c r="HZ60" s="230"/>
      <c r="IA60" s="230"/>
      <c r="IB60" s="230"/>
      <c r="IC60" s="230"/>
      <c r="ID60" s="230"/>
      <c r="IE60" s="230"/>
      <c r="IF60" s="230"/>
      <c r="IG60" s="230"/>
      <c r="IH60" s="230"/>
      <c r="II60" s="230"/>
      <c r="IJ60" s="230"/>
      <c r="IK60" s="230"/>
      <c r="IL60" s="230"/>
      <c r="IM60" s="230"/>
      <c r="IN60" s="230"/>
      <c r="IO60" s="230"/>
      <c r="IP60" s="230"/>
      <c r="IQ60" s="230"/>
    </row>
    <row r="61" spans="1:252" s="73" customFormat="1">
      <c r="A61" s="650" t="s">
        <v>1123</v>
      </c>
      <c r="B61" s="72"/>
      <c r="C61" s="193">
        <v>227674.92</v>
      </c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0"/>
      <c r="DX61" s="230"/>
      <c r="DY61" s="230"/>
      <c r="DZ61" s="230"/>
      <c r="EA61" s="230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0"/>
      <c r="EP61" s="230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0"/>
      <c r="FF61" s="230"/>
      <c r="FG61" s="230"/>
      <c r="FH61" s="230"/>
      <c r="FI61" s="230"/>
      <c r="FJ61" s="230"/>
      <c r="FK61" s="230"/>
      <c r="FL61" s="230"/>
      <c r="FM61" s="230"/>
      <c r="FN61" s="230"/>
      <c r="FO61" s="230"/>
      <c r="FP61" s="230"/>
      <c r="FQ61" s="230"/>
      <c r="FR61" s="230"/>
      <c r="FS61" s="230"/>
      <c r="FT61" s="230"/>
      <c r="FU61" s="230"/>
      <c r="FV61" s="230"/>
      <c r="FW61" s="230"/>
      <c r="FX61" s="230"/>
      <c r="FY61" s="230"/>
      <c r="FZ61" s="230"/>
      <c r="GA61" s="230"/>
      <c r="GB61" s="230"/>
      <c r="GC61" s="230"/>
      <c r="GD61" s="230"/>
      <c r="GE61" s="230"/>
      <c r="GF61" s="230"/>
      <c r="GG61" s="230"/>
      <c r="GH61" s="230"/>
      <c r="GI61" s="230"/>
      <c r="GJ61" s="230"/>
      <c r="GK61" s="230"/>
      <c r="GL61" s="230"/>
      <c r="GM61" s="230"/>
      <c r="GN61" s="230"/>
      <c r="GO61" s="230"/>
      <c r="GP61" s="230"/>
      <c r="GQ61" s="230"/>
      <c r="GR61" s="230"/>
      <c r="GS61" s="230"/>
      <c r="GT61" s="230"/>
      <c r="GU61" s="230"/>
      <c r="GV61" s="230"/>
      <c r="GW61" s="230"/>
      <c r="GX61" s="230"/>
      <c r="GY61" s="230"/>
      <c r="GZ61" s="230"/>
      <c r="HA61" s="230"/>
      <c r="HB61" s="230"/>
      <c r="HC61" s="230"/>
      <c r="HD61" s="230"/>
      <c r="HE61" s="230"/>
      <c r="HF61" s="230"/>
      <c r="HG61" s="230"/>
      <c r="HH61" s="230"/>
      <c r="HI61" s="230"/>
      <c r="HJ61" s="230"/>
      <c r="HK61" s="230"/>
      <c r="HL61" s="230"/>
      <c r="HM61" s="230"/>
      <c r="HN61" s="230"/>
      <c r="HO61" s="230"/>
      <c r="HP61" s="230"/>
      <c r="HQ61" s="230"/>
      <c r="HR61" s="230"/>
      <c r="HS61" s="230"/>
      <c r="HT61" s="230"/>
      <c r="HU61" s="230"/>
      <c r="HV61" s="230"/>
      <c r="HW61" s="230"/>
      <c r="HX61" s="230"/>
      <c r="HY61" s="230"/>
      <c r="HZ61" s="230"/>
      <c r="IA61" s="230"/>
      <c r="IB61" s="230"/>
      <c r="IC61" s="230"/>
      <c r="ID61" s="230"/>
      <c r="IE61" s="230"/>
      <c r="IF61" s="230"/>
      <c r="IG61" s="230"/>
      <c r="IH61" s="230"/>
      <c r="II61" s="230"/>
      <c r="IJ61" s="230"/>
      <c r="IK61" s="230"/>
      <c r="IL61" s="230"/>
      <c r="IM61" s="230"/>
      <c r="IN61" s="230"/>
      <c r="IO61" s="230"/>
      <c r="IP61" s="230"/>
      <c r="IQ61" s="230"/>
    </row>
    <row r="62" spans="1:252" s="73" customFormat="1">
      <c r="A62" s="650" t="s">
        <v>596</v>
      </c>
      <c r="B62" s="72"/>
      <c r="C62" s="193">
        <v>4123.88</v>
      </c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0"/>
      <c r="FF62" s="230"/>
      <c r="FG62" s="230"/>
      <c r="FH62" s="230"/>
      <c r="FI62" s="230"/>
      <c r="FJ62" s="230"/>
      <c r="FK62" s="230"/>
      <c r="FL62" s="230"/>
      <c r="FM62" s="230"/>
      <c r="FN62" s="230"/>
      <c r="FO62" s="230"/>
      <c r="FP62" s="230"/>
      <c r="FQ62" s="230"/>
      <c r="FR62" s="230"/>
      <c r="FS62" s="230"/>
      <c r="FT62" s="230"/>
      <c r="FU62" s="230"/>
      <c r="FV62" s="230"/>
      <c r="FW62" s="230"/>
      <c r="FX62" s="230"/>
      <c r="FY62" s="230"/>
      <c r="FZ62" s="230"/>
      <c r="GA62" s="230"/>
      <c r="GB62" s="230"/>
      <c r="GC62" s="230"/>
      <c r="GD62" s="230"/>
      <c r="GE62" s="230"/>
      <c r="GF62" s="230"/>
      <c r="GG62" s="230"/>
      <c r="GH62" s="230"/>
      <c r="GI62" s="230"/>
      <c r="GJ62" s="230"/>
      <c r="GK62" s="230"/>
      <c r="GL62" s="230"/>
      <c r="GM62" s="230"/>
      <c r="GN62" s="230"/>
      <c r="GO62" s="230"/>
      <c r="GP62" s="230"/>
      <c r="GQ62" s="230"/>
      <c r="GR62" s="230"/>
      <c r="GS62" s="230"/>
      <c r="GT62" s="230"/>
      <c r="GU62" s="230"/>
      <c r="GV62" s="230"/>
      <c r="GW62" s="230"/>
      <c r="GX62" s="230"/>
      <c r="GY62" s="230"/>
      <c r="GZ62" s="230"/>
      <c r="HA62" s="230"/>
      <c r="HB62" s="230"/>
      <c r="HC62" s="230"/>
      <c r="HD62" s="230"/>
      <c r="HE62" s="230"/>
      <c r="HF62" s="230"/>
      <c r="HG62" s="230"/>
      <c r="HH62" s="230"/>
      <c r="HI62" s="230"/>
      <c r="HJ62" s="230"/>
      <c r="HK62" s="230"/>
      <c r="HL62" s="230"/>
      <c r="HM62" s="230"/>
      <c r="HN62" s="230"/>
      <c r="HO62" s="230"/>
      <c r="HP62" s="230"/>
      <c r="HQ62" s="230"/>
      <c r="HR62" s="230"/>
      <c r="HS62" s="230"/>
      <c r="HT62" s="230"/>
      <c r="HU62" s="230"/>
      <c r="HV62" s="230"/>
      <c r="HW62" s="230"/>
      <c r="HX62" s="230"/>
      <c r="HY62" s="230"/>
      <c r="HZ62" s="230"/>
      <c r="IA62" s="230"/>
      <c r="IB62" s="230"/>
      <c r="IC62" s="230"/>
      <c r="ID62" s="230"/>
      <c r="IE62" s="230"/>
      <c r="IF62" s="230"/>
      <c r="IG62" s="230"/>
      <c r="IH62" s="230"/>
      <c r="II62" s="230"/>
      <c r="IJ62" s="230"/>
      <c r="IK62" s="230"/>
      <c r="IL62" s="230"/>
      <c r="IM62" s="230"/>
      <c r="IN62" s="230"/>
      <c r="IO62" s="230"/>
      <c r="IP62" s="230"/>
      <c r="IQ62" s="230"/>
    </row>
    <row r="63" spans="1:252" s="73" customFormat="1">
      <c r="A63" s="650" t="s">
        <v>1126</v>
      </c>
      <c r="B63" s="72"/>
      <c r="C63" s="193">
        <v>0</v>
      </c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  <c r="GJ63" s="230"/>
      <c r="GK63" s="230"/>
      <c r="GL63" s="230"/>
      <c r="GM63" s="230"/>
      <c r="GN63" s="230"/>
      <c r="GO63" s="230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30"/>
      <c r="HA63" s="230"/>
      <c r="HB63" s="230"/>
      <c r="HC63" s="230"/>
      <c r="HD63" s="230"/>
      <c r="HE63" s="230"/>
      <c r="HF63" s="230"/>
      <c r="HG63" s="230"/>
      <c r="HH63" s="230"/>
      <c r="HI63" s="230"/>
      <c r="HJ63" s="230"/>
      <c r="HK63" s="230"/>
      <c r="HL63" s="230"/>
      <c r="HM63" s="230"/>
      <c r="HN63" s="230"/>
      <c r="HO63" s="230"/>
      <c r="HP63" s="230"/>
      <c r="HQ63" s="230"/>
      <c r="HR63" s="230"/>
      <c r="HS63" s="230"/>
      <c r="HT63" s="230"/>
      <c r="HU63" s="230"/>
      <c r="HV63" s="230"/>
      <c r="HW63" s="230"/>
      <c r="HX63" s="230"/>
      <c r="HY63" s="230"/>
      <c r="HZ63" s="230"/>
      <c r="IA63" s="230"/>
      <c r="IB63" s="230"/>
      <c r="IC63" s="230"/>
      <c r="ID63" s="230"/>
      <c r="IE63" s="230"/>
      <c r="IF63" s="230"/>
      <c r="IG63" s="230"/>
      <c r="IH63" s="230"/>
      <c r="II63" s="230"/>
      <c r="IJ63" s="230"/>
      <c r="IK63" s="230"/>
      <c r="IL63" s="230"/>
      <c r="IM63" s="230"/>
      <c r="IN63" s="230"/>
      <c r="IO63" s="230"/>
      <c r="IP63" s="230"/>
      <c r="IQ63" s="230"/>
    </row>
    <row r="64" spans="1:252" s="73" customFormat="1">
      <c r="A64" s="650" t="s">
        <v>798</v>
      </c>
      <c r="B64" s="72"/>
      <c r="C64" s="193">
        <f>C60+C61+C62-C65-30000</f>
        <v>182157.44000000003</v>
      </c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  <c r="IQ64" s="230"/>
    </row>
    <row r="65" spans="1:251" s="73" customFormat="1">
      <c r="A65" s="650" t="s">
        <v>1124</v>
      </c>
      <c r="B65" s="72"/>
      <c r="C65" s="193">
        <v>73788.03</v>
      </c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230"/>
      <c r="DA65" s="230"/>
      <c r="DB65" s="230"/>
      <c r="DC65" s="230"/>
      <c r="DD65" s="230"/>
      <c r="DE65" s="230"/>
      <c r="DF65" s="230"/>
      <c r="DG65" s="230"/>
      <c r="DH65" s="230"/>
      <c r="DI65" s="230"/>
      <c r="DJ65" s="230"/>
      <c r="DK65" s="230"/>
      <c r="DL65" s="230"/>
      <c r="DM65" s="230"/>
      <c r="DN65" s="230"/>
      <c r="DO65" s="230"/>
      <c r="DP65" s="230"/>
      <c r="DQ65" s="230"/>
      <c r="DR65" s="230"/>
      <c r="DS65" s="230"/>
      <c r="DT65" s="230"/>
      <c r="DU65" s="230"/>
      <c r="DV65" s="230"/>
      <c r="DW65" s="230"/>
      <c r="DX65" s="230"/>
      <c r="DY65" s="230"/>
      <c r="DZ65" s="230"/>
      <c r="EA65" s="230"/>
      <c r="EB65" s="230"/>
      <c r="EC65" s="230"/>
      <c r="ED65" s="230"/>
      <c r="EE65" s="230"/>
      <c r="EF65" s="230"/>
      <c r="EG65" s="230"/>
      <c r="EH65" s="230"/>
      <c r="EI65" s="230"/>
      <c r="EJ65" s="230"/>
      <c r="EK65" s="230"/>
      <c r="EL65" s="230"/>
      <c r="EM65" s="230"/>
      <c r="EN65" s="230"/>
      <c r="EO65" s="230"/>
      <c r="EP65" s="230"/>
      <c r="EQ65" s="230"/>
      <c r="ER65" s="230"/>
      <c r="ES65" s="230"/>
      <c r="ET65" s="230"/>
      <c r="EU65" s="230"/>
      <c r="EV65" s="230"/>
      <c r="EW65" s="230"/>
      <c r="EX65" s="230"/>
      <c r="EY65" s="230"/>
      <c r="EZ65" s="230"/>
      <c r="FA65" s="230"/>
      <c r="FB65" s="230"/>
      <c r="FC65" s="230"/>
      <c r="FD65" s="230"/>
      <c r="FE65" s="230"/>
      <c r="FF65" s="230"/>
      <c r="FG65" s="230"/>
      <c r="FH65" s="230"/>
      <c r="FI65" s="230"/>
      <c r="FJ65" s="230"/>
      <c r="FK65" s="230"/>
      <c r="FL65" s="230"/>
      <c r="FM65" s="230"/>
      <c r="FN65" s="230"/>
      <c r="FO65" s="230"/>
      <c r="FP65" s="230"/>
      <c r="FQ65" s="230"/>
      <c r="FR65" s="230"/>
      <c r="FS65" s="230"/>
      <c r="FT65" s="230"/>
      <c r="FU65" s="230"/>
      <c r="FV65" s="230"/>
      <c r="FW65" s="230"/>
      <c r="FX65" s="230"/>
      <c r="FY65" s="230"/>
      <c r="FZ65" s="230"/>
      <c r="GA65" s="230"/>
      <c r="GB65" s="230"/>
      <c r="GC65" s="230"/>
      <c r="GD65" s="230"/>
      <c r="GE65" s="230"/>
      <c r="GF65" s="230"/>
      <c r="GG65" s="230"/>
      <c r="GH65" s="230"/>
      <c r="GI65" s="230"/>
      <c r="GJ65" s="230"/>
      <c r="GK65" s="230"/>
      <c r="GL65" s="230"/>
      <c r="GM65" s="230"/>
      <c r="GN65" s="230"/>
      <c r="GO65" s="230"/>
      <c r="GP65" s="230"/>
      <c r="GQ65" s="230"/>
      <c r="GR65" s="230"/>
      <c r="GS65" s="230"/>
      <c r="GT65" s="230"/>
      <c r="GU65" s="230"/>
      <c r="GV65" s="230"/>
      <c r="GW65" s="230"/>
      <c r="GX65" s="230"/>
      <c r="GY65" s="230"/>
      <c r="GZ65" s="230"/>
      <c r="HA65" s="230"/>
      <c r="HB65" s="230"/>
      <c r="HC65" s="230"/>
      <c r="HD65" s="230"/>
      <c r="HE65" s="230"/>
      <c r="HF65" s="230"/>
      <c r="HG65" s="230"/>
      <c r="HH65" s="230"/>
      <c r="HI65" s="230"/>
      <c r="HJ65" s="230"/>
      <c r="HK65" s="230"/>
      <c r="HL65" s="230"/>
      <c r="HM65" s="230"/>
      <c r="HN65" s="230"/>
      <c r="HO65" s="230"/>
      <c r="HP65" s="230"/>
      <c r="HQ65" s="230"/>
      <c r="HR65" s="230"/>
      <c r="HS65" s="230"/>
      <c r="HT65" s="230"/>
      <c r="HU65" s="230"/>
      <c r="HV65" s="230"/>
      <c r="HW65" s="230"/>
      <c r="HX65" s="230"/>
      <c r="HY65" s="230"/>
      <c r="HZ65" s="230"/>
      <c r="IA65" s="230"/>
      <c r="IB65" s="230"/>
      <c r="IC65" s="230"/>
      <c r="ID65" s="230"/>
      <c r="IE65" s="230"/>
      <c r="IF65" s="230"/>
      <c r="IG65" s="230"/>
      <c r="IH65" s="230"/>
      <c r="II65" s="230"/>
      <c r="IJ65" s="230"/>
      <c r="IK65" s="230"/>
      <c r="IL65" s="230"/>
      <c r="IM65" s="230"/>
      <c r="IN65" s="230"/>
      <c r="IO65" s="230"/>
      <c r="IP65" s="230"/>
      <c r="IQ65" s="230"/>
    </row>
    <row r="66" spans="1:251" s="73" customFormat="1" ht="21" customHeight="1">
      <c r="A66" s="651" t="s">
        <v>1555</v>
      </c>
      <c r="B66" s="72"/>
      <c r="C66" s="196">
        <f>C64</f>
        <v>182157.44000000003</v>
      </c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0"/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230"/>
      <c r="FO66" s="230"/>
      <c r="FP66" s="230"/>
      <c r="FQ66" s="230"/>
      <c r="FR66" s="230"/>
      <c r="FS66" s="230"/>
      <c r="FT66" s="230"/>
      <c r="FU66" s="230"/>
      <c r="FV66" s="230"/>
      <c r="FW66" s="230"/>
      <c r="FX66" s="230"/>
      <c r="FY66" s="230"/>
      <c r="FZ66" s="230"/>
      <c r="GA66" s="230"/>
      <c r="GB66" s="230"/>
      <c r="GC66" s="230"/>
      <c r="GD66" s="230"/>
      <c r="GE66" s="230"/>
      <c r="GF66" s="230"/>
      <c r="GG66" s="230"/>
      <c r="GH66" s="230"/>
      <c r="GI66" s="230"/>
      <c r="GJ66" s="230"/>
      <c r="GK66" s="230"/>
      <c r="GL66" s="230"/>
      <c r="GM66" s="230"/>
      <c r="GN66" s="230"/>
      <c r="GO66" s="230"/>
      <c r="GP66" s="230"/>
      <c r="GQ66" s="230"/>
      <c r="GR66" s="230"/>
      <c r="GS66" s="230"/>
      <c r="GT66" s="230"/>
      <c r="GU66" s="230"/>
      <c r="GV66" s="230"/>
      <c r="GW66" s="230"/>
      <c r="GX66" s="230"/>
      <c r="GY66" s="230"/>
      <c r="GZ66" s="230"/>
      <c r="HA66" s="230"/>
      <c r="HB66" s="230"/>
      <c r="HC66" s="230"/>
      <c r="HD66" s="230"/>
      <c r="HE66" s="230"/>
      <c r="HF66" s="230"/>
      <c r="HG66" s="230"/>
      <c r="HH66" s="230"/>
      <c r="HI66" s="230"/>
      <c r="HJ66" s="230"/>
      <c r="HK66" s="230"/>
      <c r="HL66" s="230"/>
      <c r="HM66" s="230"/>
      <c r="HN66" s="230"/>
      <c r="HO66" s="230"/>
      <c r="HP66" s="230"/>
      <c r="HQ66" s="230"/>
      <c r="HR66" s="230"/>
      <c r="HS66" s="230"/>
      <c r="HT66" s="230"/>
      <c r="HU66" s="230"/>
      <c r="HV66" s="230"/>
      <c r="HW66" s="230"/>
      <c r="HX66" s="230"/>
      <c r="HY66" s="230"/>
      <c r="HZ66" s="230"/>
      <c r="IA66" s="230"/>
      <c r="IB66" s="230"/>
      <c r="IC66" s="230"/>
      <c r="ID66" s="230"/>
      <c r="IE66" s="230"/>
      <c r="IF66" s="230"/>
      <c r="IG66" s="230"/>
      <c r="IH66" s="230"/>
      <c r="II66" s="230"/>
      <c r="IJ66" s="230"/>
      <c r="IK66" s="230"/>
      <c r="IL66" s="230"/>
      <c r="IM66" s="230"/>
      <c r="IN66" s="230"/>
      <c r="IO66" s="230"/>
      <c r="IP66" s="230"/>
      <c r="IQ66" s="230"/>
    </row>
    <row r="67" spans="1:251" s="73" customFormat="1">
      <c r="A67" s="650"/>
      <c r="B67" s="72"/>
      <c r="C67" s="193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0"/>
      <c r="DX67" s="230"/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0"/>
      <c r="EK67" s="230"/>
      <c r="EL67" s="230"/>
      <c r="EM67" s="230"/>
      <c r="EN67" s="230"/>
      <c r="EO67" s="230"/>
      <c r="EP67" s="230"/>
      <c r="EQ67" s="230"/>
      <c r="ER67" s="230"/>
      <c r="ES67" s="230"/>
      <c r="ET67" s="230"/>
      <c r="EU67" s="230"/>
      <c r="EV67" s="230"/>
      <c r="EW67" s="230"/>
      <c r="EX67" s="230"/>
      <c r="EY67" s="230"/>
      <c r="EZ67" s="230"/>
      <c r="FA67" s="230"/>
      <c r="FB67" s="230"/>
      <c r="FC67" s="230"/>
      <c r="FD67" s="230"/>
      <c r="FE67" s="230"/>
      <c r="FF67" s="230"/>
      <c r="FG67" s="230"/>
      <c r="FH67" s="230"/>
      <c r="FI67" s="230"/>
      <c r="FJ67" s="230"/>
      <c r="FK67" s="230"/>
      <c r="FL67" s="230"/>
      <c r="FM67" s="230"/>
      <c r="FN67" s="230"/>
      <c r="FO67" s="230"/>
      <c r="FP67" s="230"/>
      <c r="FQ67" s="230"/>
      <c r="FR67" s="230"/>
      <c r="FS67" s="230"/>
      <c r="FT67" s="230"/>
      <c r="FU67" s="230"/>
      <c r="FV67" s="230"/>
      <c r="FW67" s="230"/>
      <c r="FX67" s="230"/>
      <c r="FY67" s="230"/>
      <c r="FZ67" s="230"/>
      <c r="GA67" s="230"/>
      <c r="GB67" s="230"/>
      <c r="GC67" s="230"/>
      <c r="GD67" s="230"/>
      <c r="GE67" s="230"/>
      <c r="GF67" s="230"/>
      <c r="GG67" s="230"/>
      <c r="GH67" s="230"/>
      <c r="GI67" s="230"/>
      <c r="GJ67" s="230"/>
      <c r="GK67" s="230"/>
      <c r="GL67" s="230"/>
      <c r="GM67" s="230"/>
      <c r="GN67" s="230"/>
      <c r="GO67" s="230"/>
      <c r="GP67" s="230"/>
      <c r="GQ67" s="230"/>
      <c r="GR67" s="230"/>
      <c r="GS67" s="230"/>
      <c r="GT67" s="230"/>
      <c r="GU67" s="230"/>
      <c r="GV67" s="230"/>
      <c r="GW67" s="230"/>
      <c r="GX67" s="230"/>
      <c r="GY67" s="230"/>
      <c r="GZ67" s="230"/>
      <c r="HA67" s="230"/>
      <c r="HB67" s="230"/>
      <c r="HC67" s="230"/>
      <c r="HD67" s="230"/>
      <c r="HE67" s="230"/>
      <c r="HF67" s="230"/>
      <c r="HG67" s="230"/>
      <c r="HH67" s="230"/>
      <c r="HI67" s="230"/>
      <c r="HJ67" s="230"/>
      <c r="HK67" s="230"/>
      <c r="HL67" s="230"/>
      <c r="HM67" s="230"/>
      <c r="HN67" s="230"/>
      <c r="HO67" s="230"/>
      <c r="HP67" s="230"/>
      <c r="HQ67" s="230"/>
      <c r="HR67" s="230"/>
      <c r="HS67" s="230"/>
      <c r="HT67" s="230"/>
      <c r="HU67" s="230"/>
      <c r="HV67" s="230"/>
      <c r="HW67" s="230"/>
      <c r="HX67" s="230"/>
      <c r="HY67" s="230"/>
      <c r="HZ67" s="230"/>
      <c r="IA67" s="230"/>
      <c r="IB67" s="230"/>
      <c r="IC67" s="230"/>
      <c r="ID67" s="230"/>
      <c r="IE67" s="230"/>
      <c r="IF67" s="230"/>
      <c r="IG67" s="230"/>
      <c r="IH67" s="230"/>
      <c r="II67" s="230"/>
      <c r="IJ67" s="230"/>
      <c r="IK67" s="230"/>
      <c r="IL67" s="230"/>
      <c r="IM67" s="230"/>
      <c r="IN67" s="230"/>
      <c r="IO67" s="230"/>
      <c r="IP67" s="230"/>
      <c r="IQ67" s="230"/>
    </row>
    <row r="68" spans="1:251" s="73" customFormat="1">
      <c r="A68" s="652" t="s">
        <v>1130</v>
      </c>
      <c r="B68" s="72"/>
      <c r="C68" s="198">
        <f>C70+C71+C72+C73+C74+C77+C80+C78+C79</f>
        <v>169549.94628005897</v>
      </c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  <c r="FI68" s="230"/>
      <c r="FJ68" s="230"/>
      <c r="FK68" s="230"/>
      <c r="FL68" s="230"/>
      <c r="FM68" s="230"/>
      <c r="FN68" s="230"/>
      <c r="FO68" s="230"/>
      <c r="FP68" s="230"/>
      <c r="FQ68" s="230"/>
      <c r="FR68" s="230"/>
      <c r="FS68" s="230"/>
      <c r="FT68" s="230"/>
      <c r="FU68" s="230"/>
      <c r="FV68" s="230"/>
      <c r="FW68" s="230"/>
      <c r="FX68" s="230"/>
      <c r="FY68" s="230"/>
      <c r="FZ68" s="230"/>
      <c r="GA68" s="230"/>
      <c r="GB68" s="230"/>
      <c r="GC68" s="230"/>
      <c r="GD68" s="230"/>
      <c r="GE68" s="230"/>
      <c r="GF68" s="230"/>
      <c r="GG68" s="230"/>
      <c r="GH68" s="230"/>
      <c r="GI68" s="230"/>
      <c r="GJ68" s="230"/>
      <c r="GK68" s="230"/>
      <c r="GL68" s="230"/>
      <c r="GM68" s="230"/>
      <c r="GN68" s="230"/>
      <c r="GO68" s="230"/>
      <c r="GP68" s="230"/>
      <c r="GQ68" s="230"/>
      <c r="GR68" s="230"/>
      <c r="GS68" s="230"/>
      <c r="GT68" s="230"/>
      <c r="GU68" s="230"/>
      <c r="GV68" s="230"/>
      <c r="GW68" s="230"/>
      <c r="GX68" s="230"/>
      <c r="GY68" s="230"/>
      <c r="GZ68" s="230"/>
      <c r="HA68" s="230"/>
      <c r="HB68" s="230"/>
      <c r="HC68" s="230"/>
      <c r="HD68" s="230"/>
      <c r="HE68" s="230"/>
      <c r="HF68" s="230"/>
      <c r="HG68" s="230"/>
      <c r="HH68" s="230"/>
      <c r="HI68" s="230"/>
      <c r="HJ68" s="230"/>
      <c r="HK68" s="230"/>
      <c r="HL68" s="230"/>
      <c r="HM68" s="230"/>
      <c r="HN68" s="230"/>
      <c r="HO68" s="230"/>
      <c r="HP68" s="230"/>
      <c r="HQ68" s="230"/>
      <c r="HR68" s="230"/>
      <c r="HS68" s="230"/>
      <c r="HT68" s="230"/>
      <c r="HU68" s="230"/>
      <c r="HV68" s="230"/>
      <c r="HW68" s="230"/>
      <c r="HX68" s="230"/>
      <c r="HY68" s="230"/>
      <c r="HZ68" s="230"/>
      <c r="IA68" s="230"/>
      <c r="IB68" s="230"/>
      <c r="IC68" s="230"/>
      <c r="ID68" s="230"/>
      <c r="IE68" s="230"/>
      <c r="IF68" s="230"/>
      <c r="IG68" s="230"/>
      <c r="IH68" s="230"/>
      <c r="II68" s="230"/>
      <c r="IJ68" s="230"/>
      <c r="IK68" s="230"/>
      <c r="IL68" s="230"/>
      <c r="IM68" s="230"/>
      <c r="IN68" s="230"/>
      <c r="IO68" s="230"/>
      <c r="IP68" s="230"/>
      <c r="IQ68" s="230"/>
    </row>
    <row r="69" spans="1:251" s="73" customFormat="1">
      <c r="A69" s="650" t="s">
        <v>599</v>
      </c>
      <c r="B69" s="72"/>
      <c r="C69" s="193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0"/>
      <c r="CZ69" s="230"/>
      <c r="DA69" s="230"/>
      <c r="DB69" s="230"/>
      <c r="DC69" s="230"/>
      <c r="DD69" s="230"/>
      <c r="DE69" s="230"/>
      <c r="DF69" s="230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0"/>
      <c r="DS69" s="230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0"/>
      <c r="EF69" s="230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0"/>
      <c r="ES69" s="230"/>
      <c r="ET69" s="230"/>
      <c r="EU69" s="230"/>
      <c r="EV69" s="230"/>
      <c r="EW69" s="230"/>
      <c r="EX69" s="230"/>
      <c r="EY69" s="230"/>
      <c r="EZ69" s="230"/>
      <c r="FA69" s="230"/>
      <c r="FB69" s="230"/>
      <c r="FC69" s="230"/>
      <c r="FD69" s="230"/>
      <c r="FE69" s="230"/>
      <c r="FF69" s="230"/>
      <c r="FG69" s="230"/>
      <c r="FH69" s="230"/>
      <c r="FI69" s="230"/>
      <c r="FJ69" s="230"/>
      <c r="FK69" s="230"/>
      <c r="FL69" s="230"/>
      <c r="FM69" s="230"/>
      <c r="FN69" s="230"/>
      <c r="FO69" s="230"/>
      <c r="FP69" s="230"/>
      <c r="FQ69" s="230"/>
      <c r="FR69" s="230"/>
      <c r="FS69" s="230"/>
      <c r="FT69" s="230"/>
      <c r="FU69" s="230"/>
      <c r="FV69" s="230"/>
      <c r="FW69" s="230"/>
      <c r="FX69" s="230"/>
      <c r="FY69" s="230"/>
      <c r="FZ69" s="230"/>
      <c r="GA69" s="230"/>
      <c r="GB69" s="230"/>
      <c r="GC69" s="230"/>
      <c r="GD69" s="230"/>
      <c r="GE69" s="230"/>
      <c r="GF69" s="230"/>
      <c r="GG69" s="230"/>
      <c r="GH69" s="230"/>
      <c r="GI69" s="230"/>
      <c r="GJ69" s="230"/>
      <c r="GK69" s="230"/>
      <c r="GL69" s="230"/>
      <c r="GM69" s="230"/>
      <c r="GN69" s="230"/>
      <c r="GO69" s="230"/>
      <c r="GP69" s="230"/>
      <c r="GQ69" s="230"/>
      <c r="GR69" s="230"/>
      <c r="GS69" s="230"/>
      <c r="GT69" s="230"/>
      <c r="GU69" s="230"/>
      <c r="GV69" s="230"/>
      <c r="GW69" s="230"/>
      <c r="GX69" s="230"/>
      <c r="GY69" s="230"/>
      <c r="GZ69" s="230"/>
      <c r="HA69" s="230"/>
      <c r="HB69" s="230"/>
      <c r="HC69" s="230"/>
      <c r="HD69" s="230"/>
      <c r="HE69" s="230"/>
      <c r="HF69" s="230"/>
      <c r="HG69" s="230"/>
      <c r="HH69" s="230"/>
      <c r="HI69" s="230"/>
      <c r="HJ69" s="230"/>
      <c r="HK69" s="230"/>
      <c r="HL69" s="230"/>
      <c r="HM69" s="230"/>
      <c r="HN69" s="230"/>
      <c r="HO69" s="230"/>
      <c r="HP69" s="230"/>
      <c r="HQ69" s="230"/>
      <c r="HR69" s="230"/>
      <c r="HS69" s="230"/>
      <c r="HT69" s="230"/>
      <c r="HU69" s="230"/>
      <c r="HV69" s="230"/>
      <c r="HW69" s="230"/>
      <c r="HX69" s="230"/>
      <c r="HY69" s="230"/>
      <c r="HZ69" s="230"/>
      <c r="IA69" s="230"/>
      <c r="IB69" s="230"/>
      <c r="IC69" s="230"/>
      <c r="ID69" s="230"/>
      <c r="IE69" s="230"/>
      <c r="IF69" s="230"/>
      <c r="IG69" s="230"/>
      <c r="IH69" s="230"/>
      <c r="II69" s="230"/>
      <c r="IJ69" s="230"/>
      <c r="IK69" s="230"/>
      <c r="IL69" s="230"/>
      <c r="IM69" s="230"/>
      <c r="IN69" s="230"/>
      <c r="IO69" s="230"/>
      <c r="IP69" s="230"/>
      <c r="IQ69" s="230"/>
    </row>
    <row r="70" spans="1:251" s="73" customFormat="1">
      <c r="A70" s="650" t="s">
        <v>521</v>
      </c>
      <c r="B70" s="72"/>
      <c r="C70" s="194">
        <f>959300/45797.5*C58*1.8</f>
        <v>40120.618680058957</v>
      </c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  <c r="CM70" s="230"/>
      <c r="CN70" s="230"/>
      <c r="CO70" s="230"/>
      <c r="CP70" s="230"/>
      <c r="CQ70" s="230"/>
      <c r="CR70" s="230"/>
      <c r="CS70" s="230"/>
      <c r="CT70" s="230"/>
      <c r="CU70" s="230"/>
      <c r="CV70" s="230"/>
      <c r="CW70" s="230"/>
      <c r="CX70" s="230"/>
      <c r="CY70" s="230"/>
      <c r="CZ70" s="230"/>
      <c r="DA70" s="230"/>
      <c r="DB70" s="230"/>
      <c r="DC70" s="230"/>
      <c r="DD70" s="230"/>
      <c r="DE70" s="230"/>
      <c r="DF70" s="230"/>
      <c r="DG70" s="230"/>
      <c r="DH70" s="230"/>
      <c r="DI70" s="230"/>
      <c r="DJ70" s="230"/>
      <c r="DK70" s="230"/>
      <c r="DL70" s="230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0"/>
      <c r="DX70" s="230"/>
      <c r="DY70" s="230"/>
      <c r="DZ70" s="230"/>
      <c r="EA70" s="230"/>
      <c r="EB70" s="230"/>
      <c r="EC70" s="230"/>
      <c r="ED70" s="230"/>
      <c r="EE70" s="230"/>
      <c r="EF70" s="230"/>
      <c r="EG70" s="230"/>
      <c r="EH70" s="230"/>
      <c r="EI70" s="230"/>
      <c r="EJ70" s="230"/>
      <c r="EK70" s="230"/>
      <c r="EL70" s="230"/>
      <c r="EM70" s="230"/>
      <c r="EN70" s="230"/>
      <c r="EO70" s="230"/>
      <c r="EP70" s="230"/>
      <c r="EQ70" s="230"/>
      <c r="ER70" s="230"/>
      <c r="ES70" s="230"/>
      <c r="ET70" s="230"/>
      <c r="EU70" s="230"/>
      <c r="EV70" s="230"/>
      <c r="EW70" s="230"/>
      <c r="EX70" s="230"/>
      <c r="EY70" s="230"/>
      <c r="EZ70" s="230"/>
      <c r="FA70" s="230"/>
      <c r="FB70" s="230"/>
      <c r="FC70" s="230"/>
      <c r="FD70" s="230"/>
      <c r="FE70" s="230"/>
      <c r="FF70" s="230"/>
      <c r="FG70" s="230"/>
      <c r="FH70" s="230"/>
      <c r="FI70" s="230"/>
      <c r="FJ70" s="230"/>
      <c r="FK70" s="230"/>
      <c r="FL70" s="230"/>
      <c r="FM70" s="230"/>
      <c r="FN70" s="230"/>
      <c r="FO70" s="230"/>
      <c r="FP70" s="230"/>
      <c r="FQ70" s="230"/>
      <c r="FR70" s="230"/>
      <c r="FS70" s="230"/>
      <c r="FT70" s="230"/>
      <c r="FU70" s="230"/>
      <c r="FV70" s="230"/>
      <c r="FW70" s="230"/>
      <c r="FX70" s="230"/>
      <c r="FY70" s="230"/>
      <c r="FZ70" s="230"/>
      <c r="GA70" s="230"/>
      <c r="GB70" s="230"/>
      <c r="GC70" s="230"/>
      <c r="GD70" s="230"/>
      <c r="GE70" s="230"/>
      <c r="GF70" s="230"/>
      <c r="GG70" s="230"/>
      <c r="GH70" s="230"/>
      <c r="GI70" s="230"/>
      <c r="GJ70" s="230"/>
      <c r="GK70" s="230"/>
      <c r="GL70" s="230"/>
      <c r="GM70" s="230"/>
      <c r="GN70" s="230"/>
      <c r="GO70" s="230"/>
      <c r="GP70" s="230"/>
      <c r="GQ70" s="230"/>
      <c r="GR70" s="230"/>
      <c r="GS70" s="230"/>
      <c r="GT70" s="230"/>
      <c r="GU70" s="230"/>
      <c r="GV70" s="230"/>
      <c r="GW70" s="230"/>
      <c r="GX70" s="230"/>
      <c r="GY70" s="230"/>
      <c r="GZ70" s="230"/>
      <c r="HA70" s="230"/>
      <c r="HB70" s="230"/>
      <c r="HC70" s="230"/>
      <c r="HD70" s="230"/>
      <c r="HE70" s="230"/>
      <c r="HF70" s="230"/>
      <c r="HG70" s="230"/>
      <c r="HH70" s="230"/>
      <c r="HI70" s="230"/>
      <c r="HJ70" s="230"/>
      <c r="HK70" s="230"/>
      <c r="HL70" s="230"/>
      <c r="HM70" s="230"/>
      <c r="HN70" s="230"/>
      <c r="HO70" s="230"/>
      <c r="HP70" s="230"/>
      <c r="HQ70" s="230"/>
      <c r="HR70" s="230"/>
      <c r="HS70" s="230"/>
      <c r="HT70" s="230"/>
      <c r="HU70" s="230"/>
      <c r="HV70" s="230"/>
      <c r="HW70" s="230"/>
      <c r="HX70" s="230"/>
      <c r="HY70" s="230"/>
      <c r="HZ70" s="230"/>
      <c r="IA70" s="230"/>
      <c r="IB70" s="230"/>
      <c r="IC70" s="230"/>
      <c r="ID70" s="230"/>
      <c r="IE70" s="230"/>
      <c r="IF70" s="230"/>
      <c r="IG70" s="230"/>
      <c r="IH70" s="230"/>
      <c r="II70" s="230"/>
      <c r="IJ70" s="230"/>
      <c r="IK70" s="230"/>
      <c r="IL70" s="230"/>
      <c r="IM70" s="230"/>
      <c r="IN70" s="230"/>
      <c r="IO70" s="230"/>
      <c r="IP70" s="230"/>
      <c r="IQ70" s="230"/>
    </row>
    <row r="71" spans="1:251" s="73" customFormat="1">
      <c r="A71" s="650" t="s">
        <v>520</v>
      </c>
      <c r="B71" s="72"/>
      <c r="C71" s="194">
        <f>0.89*C58*12*1.8</f>
        <v>20456.258399999999</v>
      </c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30"/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0"/>
      <c r="DJ71" s="230"/>
      <c r="DK71" s="230"/>
      <c r="DL71" s="230"/>
      <c r="DM71" s="230"/>
      <c r="DN71" s="230"/>
      <c r="DO71" s="230"/>
      <c r="DP71" s="230"/>
      <c r="DQ71" s="230"/>
      <c r="DR71" s="230"/>
      <c r="DS71" s="230"/>
      <c r="DT71" s="230"/>
      <c r="DU71" s="230"/>
      <c r="DV71" s="230"/>
      <c r="DW71" s="230"/>
      <c r="DX71" s="230"/>
      <c r="DY71" s="230"/>
      <c r="DZ71" s="230"/>
      <c r="EA71" s="230"/>
      <c r="EB71" s="230"/>
      <c r="EC71" s="230"/>
      <c r="ED71" s="230"/>
      <c r="EE71" s="230"/>
      <c r="EF71" s="230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0"/>
      <c r="ES71" s="230"/>
      <c r="ET71" s="230"/>
      <c r="EU71" s="230"/>
      <c r="EV71" s="230"/>
      <c r="EW71" s="230"/>
      <c r="EX71" s="230"/>
      <c r="EY71" s="230"/>
      <c r="EZ71" s="230"/>
      <c r="FA71" s="230"/>
      <c r="FB71" s="230"/>
      <c r="FC71" s="230"/>
      <c r="FD71" s="230"/>
      <c r="FE71" s="230"/>
      <c r="FF71" s="230"/>
      <c r="FG71" s="230"/>
      <c r="FH71" s="230"/>
      <c r="FI71" s="230"/>
      <c r="FJ71" s="230"/>
      <c r="FK71" s="230"/>
      <c r="FL71" s="230"/>
      <c r="FM71" s="230"/>
      <c r="FN71" s="230"/>
      <c r="FO71" s="230"/>
      <c r="FP71" s="230"/>
      <c r="FQ71" s="230"/>
      <c r="FR71" s="230"/>
      <c r="FS71" s="230"/>
      <c r="FT71" s="230"/>
      <c r="FU71" s="230"/>
      <c r="FV71" s="230"/>
      <c r="FW71" s="230"/>
      <c r="FX71" s="230"/>
      <c r="FY71" s="230"/>
      <c r="FZ71" s="230"/>
      <c r="GA71" s="230"/>
      <c r="GB71" s="230"/>
      <c r="GC71" s="230"/>
      <c r="GD71" s="230"/>
      <c r="GE71" s="230"/>
      <c r="GF71" s="230"/>
      <c r="GG71" s="230"/>
      <c r="GH71" s="230"/>
      <c r="GI71" s="230"/>
      <c r="GJ71" s="230"/>
      <c r="GK71" s="230"/>
      <c r="GL71" s="230"/>
      <c r="GM71" s="230"/>
      <c r="GN71" s="230"/>
      <c r="GO71" s="230"/>
      <c r="GP71" s="230"/>
      <c r="GQ71" s="230"/>
      <c r="GR71" s="230"/>
      <c r="GS71" s="230"/>
      <c r="GT71" s="230"/>
      <c r="GU71" s="230"/>
      <c r="GV71" s="230"/>
      <c r="GW71" s="230"/>
      <c r="GX71" s="230"/>
      <c r="GY71" s="230"/>
      <c r="GZ71" s="230"/>
      <c r="HA71" s="230"/>
      <c r="HB71" s="230"/>
      <c r="HC71" s="230"/>
      <c r="HD71" s="230"/>
      <c r="HE71" s="230"/>
      <c r="HF71" s="230"/>
      <c r="HG71" s="230"/>
      <c r="HH71" s="230"/>
      <c r="HI71" s="230"/>
      <c r="HJ71" s="230"/>
      <c r="HK71" s="230"/>
      <c r="HL71" s="230"/>
      <c r="HM71" s="230"/>
      <c r="HN71" s="230"/>
      <c r="HO71" s="230"/>
      <c r="HP71" s="230"/>
      <c r="HQ71" s="230"/>
      <c r="HR71" s="230"/>
      <c r="HS71" s="230"/>
      <c r="HT71" s="230"/>
      <c r="HU71" s="230"/>
      <c r="HV71" s="230"/>
      <c r="HW71" s="230"/>
      <c r="HX71" s="230"/>
      <c r="HY71" s="230"/>
      <c r="HZ71" s="230"/>
      <c r="IA71" s="230"/>
      <c r="IB71" s="230"/>
      <c r="IC71" s="230"/>
      <c r="ID71" s="230"/>
      <c r="IE71" s="230"/>
      <c r="IF71" s="230"/>
      <c r="IG71" s="230"/>
      <c r="IH71" s="230"/>
      <c r="II71" s="230"/>
      <c r="IJ71" s="230"/>
      <c r="IK71" s="230"/>
      <c r="IL71" s="230"/>
      <c r="IM71" s="230"/>
      <c r="IN71" s="230"/>
      <c r="IO71" s="230"/>
      <c r="IP71" s="230"/>
      <c r="IQ71" s="230"/>
    </row>
    <row r="72" spans="1:251" s="73" customFormat="1">
      <c r="A72" s="650" t="s">
        <v>987</v>
      </c>
      <c r="B72" s="72"/>
      <c r="C72" s="194">
        <f>0.31*C58*12*1.8</f>
        <v>7125.2136</v>
      </c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0"/>
      <c r="CM72" s="230"/>
      <c r="CN72" s="230"/>
      <c r="CO72" s="230"/>
      <c r="CP72" s="230"/>
      <c r="CQ72" s="230"/>
      <c r="CR72" s="230"/>
      <c r="CS72" s="230"/>
      <c r="CT72" s="230"/>
      <c r="CU72" s="230"/>
      <c r="CV72" s="230"/>
      <c r="CW72" s="230"/>
      <c r="CX72" s="230"/>
      <c r="CY72" s="230"/>
      <c r="CZ72" s="230"/>
      <c r="DA72" s="230"/>
      <c r="DB72" s="230"/>
      <c r="DC72" s="230"/>
      <c r="DD72" s="230"/>
      <c r="DE72" s="230"/>
      <c r="DF72" s="230"/>
      <c r="DG72" s="230"/>
      <c r="DH72" s="230"/>
      <c r="DI72" s="230"/>
      <c r="DJ72" s="230"/>
      <c r="DK72" s="230"/>
      <c r="DL72" s="230"/>
      <c r="DM72" s="230"/>
      <c r="DN72" s="230"/>
      <c r="DO72" s="230"/>
      <c r="DP72" s="230"/>
      <c r="DQ72" s="230"/>
      <c r="DR72" s="230"/>
      <c r="DS72" s="230"/>
      <c r="DT72" s="230"/>
      <c r="DU72" s="230"/>
      <c r="DV72" s="230"/>
      <c r="DW72" s="230"/>
      <c r="DX72" s="230"/>
      <c r="DY72" s="230"/>
      <c r="DZ72" s="230"/>
      <c r="EA72" s="230"/>
      <c r="EB72" s="230"/>
      <c r="EC72" s="230"/>
      <c r="ED72" s="230"/>
      <c r="EE72" s="230"/>
      <c r="EF72" s="230"/>
      <c r="EG72" s="230"/>
      <c r="EH72" s="230"/>
      <c r="EI72" s="230"/>
      <c r="EJ72" s="230"/>
      <c r="EK72" s="230"/>
      <c r="EL72" s="230"/>
      <c r="EM72" s="230"/>
      <c r="EN72" s="230"/>
      <c r="EO72" s="230"/>
      <c r="EP72" s="230"/>
      <c r="EQ72" s="230"/>
      <c r="ER72" s="230"/>
      <c r="ES72" s="230"/>
      <c r="ET72" s="230"/>
      <c r="EU72" s="230"/>
      <c r="EV72" s="230"/>
      <c r="EW72" s="230"/>
      <c r="EX72" s="230"/>
      <c r="EY72" s="230"/>
      <c r="EZ72" s="230"/>
      <c r="FA72" s="230"/>
      <c r="FB72" s="230"/>
      <c r="FC72" s="230"/>
      <c r="FD72" s="230"/>
      <c r="FE72" s="230"/>
      <c r="FF72" s="230"/>
      <c r="FG72" s="230"/>
      <c r="FH72" s="230"/>
      <c r="FI72" s="230"/>
      <c r="FJ72" s="230"/>
      <c r="FK72" s="230"/>
      <c r="FL72" s="230"/>
      <c r="FM72" s="230"/>
      <c r="FN72" s="230"/>
      <c r="FO72" s="230"/>
      <c r="FP72" s="230"/>
      <c r="FQ72" s="230"/>
      <c r="FR72" s="230"/>
      <c r="FS72" s="230"/>
      <c r="FT72" s="230"/>
      <c r="FU72" s="230"/>
      <c r="FV72" s="230"/>
      <c r="FW72" s="230"/>
      <c r="FX72" s="230"/>
      <c r="FY72" s="230"/>
      <c r="FZ72" s="230"/>
      <c r="GA72" s="230"/>
      <c r="GB72" s="230"/>
      <c r="GC72" s="230"/>
      <c r="GD72" s="230"/>
      <c r="GE72" s="230"/>
      <c r="GF72" s="230"/>
      <c r="GG72" s="230"/>
      <c r="GH72" s="230"/>
      <c r="GI72" s="230"/>
      <c r="GJ72" s="230"/>
      <c r="GK72" s="230"/>
      <c r="GL72" s="230"/>
      <c r="GM72" s="230"/>
      <c r="GN72" s="230"/>
      <c r="GO72" s="230"/>
      <c r="GP72" s="230"/>
      <c r="GQ72" s="230"/>
      <c r="GR72" s="230"/>
      <c r="GS72" s="230"/>
      <c r="GT72" s="230"/>
      <c r="GU72" s="230"/>
      <c r="GV72" s="230"/>
      <c r="GW72" s="230"/>
      <c r="GX72" s="230"/>
      <c r="GY72" s="230"/>
      <c r="GZ72" s="230"/>
      <c r="HA72" s="230"/>
      <c r="HB72" s="230"/>
      <c r="HC72" s="230"/>
      <c r="HD72" s="230"/>
      <c r="HE72" s="230"/>
      <c r="HF72" s="230"/>
      <c r="HG72" s="230"/>
      <c r="HH72" s="230"/>
      <c r="HI72" s="230"/>
      <c r="HJ72" s="230"/>
      <c r="HK72" s="230"/>
      <c r="HL72" s="230"/>
      <c r="HM72" s="230"/>
      <c r="HN72" s="230"/>
      <c r="HO72" s="230"/>
      <c r="HP72" s="230"/>
      <c r="HQ72" s="230"/>
      <c r="HR72" s="230"/>
      <c r="HS72" s="230"/>
      <c r="HT72" s="230"/>
      <c r="HU72" s="230"/>
      <c r="HV72" s="230"/>
      <c r="HW72" s="230"/>
      <c r="HX72" s="230"/>
      <c r="HY72" s="230"/>
      <c r="HZ72" s="230"/>
      <c r="IA72" s="230"/>
      <c r="IB72" s="230"/>
      <c r="IC72" s="230"/>
      <c r="ID72" s="230"/>
      <c r="IE72" s="230"/>
      <c r="IF72" s="230"/>
      <c r="IG72" s="230"/>
      <c r="IH72" s="230"/>
      <c r="II72" s="230"/>
      <c r="IJ72" s="230"/>
      <c r="IK72" s="230"/>
      <c r="IL72" s="230"/>
      <c r="IM72" s="230"/>
      <c r="IN72" s="230"/>
      <c r="IO72" s="230"/>
      <c r="IP72" s="230"/>
      <c r="IQ72" s="230"/>
    </row>
    <row r="73" spans="1:251" s="73" customFormat="1">
      <c r="A73" s="650" t="s">
        <v>600</v>
      </c>
      <c r="B73" s="72"/>
      <c r="C73" s="194">
        <f>40*70*1.8</f>
        <v>5040</v>
      </c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230"/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0"/>
      <c r="DZ73" s="230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0"/>
      <c r="EM73" s="230"/>
      <c r="EN73" s="230"/>
      <c r="EO73" s="230"/>
      <c r="EP73" s="230"/>
      <c r="EQ73" s="230"/>
      <c r="ER73" s="230"/>
      <c r="ES73" s="230"/>
      <c r="ET73" s="230"/>
      <c r="EU73" s="230"/>
      <c r="EV73" s="230"/>
      <c r="EW73" s="230"/>
      <c r="EX73" s="230"/>
      <c r="EY73" s="230"/>
      <c r="EZ73" s="230"/>
      <c r="FA73" s="230"/>
      <c r="FB73" s="230"/>
      <c r="FC73" s="230"/>
      <c r="FD73" s="230"/>
      <c r="FE73" s="230"/>
      <c r="FF73" s="230"/>
      <c r="FG73" s="230"/>
      <c r="FH73" s="230"/>
      <c r="FI73" s="230"/>
      <c r="FJ73" s="230"/>
      <c r="FK73" s="230"/>
      <c r="FL73" s="230"/>
      <c r="FM73" s="230"/>
      <c r="FN73" s="230"/>
      <c r="FO73" s="230"/>
      <c r="FP73" s="230"/>
      <c r="FQ73" s="230"/>
      <c r="FR73" s="230"/>
      <c r="FS73" s="230"/>
      <c r="FT73" s="230"/>
      <c r="FU73" s="230"/>
      <c r="FV73" s="230"/>
      <c r="FW73" s="230"/>
      <c r="FX73" s="230"/>
      <c r="FY73" s="230"/>
      <c r="FZ73" s="230"/>
      <c r="GA73" s="230"/>
      <c r="GB73" s="230"/>
      <c r="GC73" s="230"/>
      <c r="GD73" s="230"/>
      <c r="GE73" s="230"/>
      <c r="GF73" s="230"/>
      <c r="GG73" s="230"/>
      <c r="GH73" s="230"/>
      <c r="GI73" s="230"/>
      <c r="GJ73" s="230"/>
      <c r="GK73" s="230"/>
      <c r="GL73" s="230"/>
      <c r="GM73" s="230"/>
      <c r="GN73" s="230"/>
      <c r="GO73" s="230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/>
      <c r="HC73" s="230"/>
      <c r="HD73" s="230"/>
      <c r="HE73" s="230"/>
      <c r="HF73" s="230"/>
      <c r="HG73" s="230"/>
      <c r="HH73" s="230"/>
      <c r="HI73" s="230"/>
      <c r="HJ73" s="230"/>
      <c r="HK73" s="230"/>
      <c r="HL73" s="230"/>
      <c r="HM73" s="230"/>
      <c r="HN73" s="230"/>
      <c r="HO73" s="230"/>
      <c r="HP73" s="230"/>
      <c r="HQ73" s="230"/>
      <c r="HR73" s="230"/>
      <c r="HS73" s="230"/>
      <c r="HT73" s="230"/>
      <c r="HU73" s="230"/>
      <c r="HV73" s="230"/>
      <c r="HW73" s="230"/>
      <c r="HX73" s="230"/>
      <c r="HY73" s="230"/>
      <c r="HZ73" s="230"/>
      <c r="IA73" s="230"/>
      <c r="IB73" s="230"/>
      <c r="IC73" s="230"/>
      <c r="ID73" s="230"/>
      <c r="IE73" s="230"/>
      <c r="IF73" s="230"/>
      <c r="IG73" s="230"/>
      <c r="IH73" s="230"/>
      <c r="II73" s="230"/>
      <c r="IJ73" s="230"/>
      <c r="IK73" s="230"/>
      <c r="IL73" s="230"/>
      <c r="IM73" s="230"/>
      <c r="IN73" s="230"/>
      <c r="IO73" s="230"/>
      <c r="IP73" s="230"/>
      <c r="IQ73" s="230"/>
    </row>
    <row r="74" spans="1:251" s="73" customFormat="1">
      <c r="A74" s="650" t="s">
        <v>611</v>
      </c>
      <c r="B74" s="72"/>
      <c r="C74" s="194">
        <f>0.01*9100*12*1.302*1.8</f>
        <v>2559.2112000000002</v>
      </c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230"/>
      <c r="CJ74" s="230"/>
      <c r="CK74" s="230"/>
      <c r="CL74" s="230"/>
      <c r="CM74" s="230"/>
      <c r="CN74" s="230"/>
      <c r="CO74" s="230"/>
      <c r="CP74" s="230"/>
      <c r="CQ74" s="230"/>
      <c r="CR74" s="230"/>
      <c r="CS74" s="230"/>
      <c r="CT74" s="230"/>
      <c r="CU74" s="230"/>
      <c r="CV74" s="230"/>
      <c r="CW74" s="230"/>
      <c r="CX74" s="230"/>
      <c r="CY74" s="230"/>
      <c r="CZ74" s="230"/>
      <c r="DA74" s="230"/>
      <c r="DB74" s="230"/>
      <c r="DC74" s="230"/>
      <c r="DD74" s="230"/>
      <c r="DE74" s="230"/>
      <c r="DF74" s="230"/>
      <c r="DG74" s="230"/>
      <c r="DH74" s="230"/>
      <c r="DI74" s="230"/>
      <c r="DJ74" s="230"/>
      <c r="DK74" s="230"/>
      <c r="DL74" s="230"/>
      <c r="DM74" s="230"/>
      <c r="DN74" s="230"/>
      <c r="DO74" s="230"/>
      <c r="DP74" s="230"/>
      <c r="DQ74" s="230"/>
      <c r="DR74" s="230"/>
      <c r="DS74" s="230"/>
      <c r="DT74" s="230"/>
      <c r="DU74" s="230"/>
      <c r="DV74" s="230"/>
      <c r="DW74" s="230"/>
      <c r="DX74" s="230"/>
      <c r="DY74" s="230"/>
      <c r="DZ74" s="230"/>
      <c r="EA74" s="230"/>
      <c r="EB74" s="230"/>
      <c r="EC74" s="230"/>
      <c r="ED74" s="230"/>
      <c r="EE74" s="230"/>
      <c r="EF74" s="230"/>
      <c r="EG74" s="230"/>
      <c r="EH74" s="230"/>
      <c r="EI74" s="230"/>
      <c r="EJ74" s="230"/>
      <c r="EK74" s="230"/>
      <c r="EL74" s="230"/>
      <c r="EM74" s="230"/>
      <c r="EN74" s="230"/>
      <c r="EO74" s="230"/>
      <c r="EP74" s="230"/>
      <c r="EQ74" s="230"/>
      <c r="ER74" s="230"/>
      <c r="ES74" s="230"/>
      <c r="ET74" s="230"/>
      <c r="EU74" s="230"/>
      <c r="EV74" s="230"/>
      <c r="EW74" s="230"/>
      <c r="EX74" s="230"/>
      <c r="EY74" s="230"/>
      <c r="EZ74" s="230"/>
      <c r="FA74" s="230"/>
      <c r="FB74" s="230"/>
      <c r="FC74" s="230"/>
      <c r="FD74" s="230"/>
      <c r="FE74" s="230"/>
      <c r="FF74" s="230"/>
      <c r="FG74" s="230"/>
      <c r="FH74" s="230"/>
      <c r="FI74" s="230"/>
      <c r="FJ74" s="230"/>
      <c r="FK74" s="230"/>
      <c r="FL74" s="230"/>
      <c r="FM74" s="230"/>
      <c r="FN74" s="230"/>
      <c r="FO74" s="230"/>
      <c r="FP74" s="230"/>
      <c r="FQ74" s="230"/>
      <c r="FR74" s="230"/>
      <c r="FS74" s="230"/>
      <c r="FT74" s="230"/>
      <c r="FU74" s="230"/>
      <c r="FV74" s="230"/>
      <c r="FW74" s="230"/>
      <c r="FX74" s="230"/>
      <c r="FY74" s="230"/>
      <c r="FZ74" s="230"/>
      <c r="GA74" s="230"/>
      <c r="GB74" s="230"/>
      <c r="GC74" s="230"/>
      <c r="GD74" s="230"/>
      <c r="GE74" s="230"/>
      <c r="GF74" s="230"/>
      <c r="GG74" s="230"/>
      <c r="GH74" s="230"/>
      <c r="GI74" s="230"/>
      <c r="GJ74" s="230"/>
      <c r="GK74" s="230"/>
      <c r="GL74" s="230"/>
      <c r="GM74" s="230"/>
      <c r="GN74" s="230"/>
      <c r="GO74" s="230"/>
      <c r="GP74" s="230"/>
      <c r="GQ74" s="230"/>
      <c r="GR74" s="230"/>
      <c r="GS74" s="230"/>
      <c r="GT74" s="230"/>
      <c r="GU74" s="230"/>
      <c r="GV74" s="230"/>
      <c r="GW74" s="230"/>
      <c r="GX74" s="230"/>
      <c r="GY74" s="230"/>
      <c r="GZ74" s="230"/>
      <c r="HA74" s="230"/>
      <c r="HB74" s="230"/>
      <c r="HC74" s="230"/>
      <c r="HD74" s="230"/>
      <c r="HE74" s="230"/>
      <c r="HF74" s="230"/>
      <c r="HG74" s="230"/>
      <c r="HH74" s="230"/>
      <c r="HI74" s="230"/>
      <c r="HJ74" s="230"/>
      <c r="HK74" s="230"/>
      <c r="HL74" s="230"/>
      <c r="HM74" s="230"/>
      <c r="HN74" s="230"/>
      <c r="HO74" s="230"/>
      <c r="HP74" s="230"/>
      <c r="HQ74" s="230"/>
      <c r="HR74" s="230"/>
      <c r="HS74" s="230"/>
      <c r="HT74" s="230"/>
      <c r="HU74" s="230"/>
      <c r="HV74" s="230"/>
      <c r="HW74" s="230"/>
      <c r="HX74" s="230"/>
      <c r="HY74" s="230"/>
      <c r="HZ74" s="230"/>
      <c r="IA74" s="230"/>
      <c r="IB74" s="230"/>
      <c r="IC74" s="230"/>
      <c r="ID74" s="230"/>
      <c r="IE74" s="230"/>
      <c r="IF74" s="230"/>
      <c r="IG74" s="230"/>
      <c r="IH74" s="230"/>
      <c r="II74" s="230"/>
      <c r="IJ74" s="230"/>
      <c r="IK74" s="230"/>
      <c r="IL74" s="230"/>
      <c r="IM74" s="230"/>
      <c r="IN74" s="230"/>
      <c r="IO74" s="230"/>
      <c r="IP74" s="230"/>
      <c r="IQ74" s="230"/>
    </row>
    <row r="75" spans="1:251" s="73" customFormat="1">
      <c r="A75" s="678" t="s">
        <v>3808</v>
      </c>
      <c r="B75" s="72"/>
      <c r="C75" s="194">
        <f>C52</f>
        <v>102.1</v>
      </c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0"/>
      <c r="DZ75" s="230"/>
      <c r="EA75" s="230"/>
      <c r="EB75" s="230"/>
      <c r="EC75" s="230"/>
      <c r="ED75" s="230"/>
      <c r="EE75" s="230"/>
      <c r="EF75" s="230"/>
      <c r="EG75" s="230"/>
      <c r="EH75" s="230"/>
      <c r="EI75" s="230"/>
      <c r="EJ75" s="230"/>
      <c r="EK75" s="230"/>
      <c r="EL75" s="230"/>
      <c r="EM75" s="230"/>
      <c r="EN75" s="230"/>
      <c r="EO75" s="230"/>
      <c r="EP75" s="230"/>
      <c r="EQ75" s="230"/>
      <c r="ER75" s="230"/>
      <c r="ES75" s="230"/>
      <c r="ET75" s="230"/>
      <c r="EU75" s="230"/>
      <c r="EV75" s="230"/>
      <c r="EW75" s="230"/>
      <c r="EX75" s="230"/>
      <c r="EY75" s="230"/>
      <c r="EZ75" s="230"/>
      <c r="FA75" s="230"/>
      <c r="FB75" s="230"/>
      <c r="FC75" s="230"/>
      <c r="FD75" s="230"/>
      <c r="FE75" s="230"/>
      <c r="FF75" s="230"/>
      <c r="FG75" s="230"/>
      <c r="FH75" s="230"/>
      <c r="FI75" s="230"/>
      <c r="FJ75" s="230"/>
      <c r="FK75" s="230"/>
      <c r="FL75" s="230"/>
      <c r="FM75" s="230"/>
      <c r="FN75" s="230"/>
      <c r="FO75" s="230"/>
      <c r="FP75" s="230"/>
      <c r="FQ75" s="230"/>
      <c r="FR75" s="230"/>
      <c r="FS75" s="230"/>
      <c r="FT75" s="230"/>
      <c r="FU75" s="230"/>
      <c r="FV75" s="230"/>
      <c r="FW75" s="230"/>
      <c r="FX75" s="230"/>
      <c r="FY75" s="230"/>
      <c r="FZ75" s="230"/>
      <c r="GA75" s="230"/>
      <c r="GB75" s="230"/>
      <c r="GC75" s="230"/>
      <c r="GD75" s="230"/>
      <c r="GE75" s="230"/>
      <c r="GF75" s="230"/>
      <c r="GG75" s="230"/>
      <c r="GH75" s="230"/>
      <c r="GI75" s="230"/>
      <c r="GJ75" s="230"/>
      <c r="GK75" s="230"/>
      <c r="GL75" s="230"/>
      <c r="GM75" s="230"/>
      <c r="GN75" s="230"/>
      <c r="GO75" s="230"/>
      <c r="GP75" s="230"/>
      <c r="GQ75" s="230"/>
      <c r="GR75" s="230"/>
      <c r="GS75" s="230"/>
      <c r="GT75" s="230"/>
      <c r="GU75" s="230"/>
      <c r="GV75" s="230"/>
      <c r="GW75" s="230"/>
      <c r="GX75" s="230"/>
      <c r="GY75" s="230"/>
      <c r="GZ75" s="230"/>
      <c r="HA75" s="230"/>
      <c r="HB75" s="230"/>
      <c r="HC75" s="230"/>
      <c r="HD75" s="230"/>
      <c r="HE75" s="230"/>
      <c r="HF75" s="230"/>
      <c r="HG75" s="230"/>
      <c r="HH75" s="230"/>
      <c r="HI75" s="230"/>
      <c r="HJ75" s="230"/>
      <c r="HK75" s="230"/>
      <c r="HL75" s="230"/>
      <c r="HM75" s="230"/>
      <c r="HN75" s="230"/>
      <c r="HO75" s="230"/>
      <c r="HP75" s="230"/>
      <c r="HQ75" s="230"/>
      <c r="HR75" s="230"/>
      <c r="HS75" s="230"/>
      <c r="HT75" s="230"/>
      <c r="HU75" s="230"/>
      <c r="HV75" s="230"/>
      <c r="HW75" s="230"/>
      <c r="HX75" s="230"/>
      <c r="HY75" s="230"/>
      <c r="HZ75" s="230"/>
      <c r="IA75" s="230"/>
      <c r="IB75" s="230"/>
      <c r="IC75" s="230"/>
      <c r="ID75" s="230"/>
      <c r="IE75" s="230"/>
      <c r="IF75" s="230"/>
      <c r="IG75" s="230"/>
      <c r="IH75" s="230"/>
      <c r="II75" s="230"/>
      <c r="IJ75" s="230"/>
      <c r="IK75" s="230"/>
      <c r="IL75" s="230"/>
      <c r="IM75" s="230"/>
      <c r="IN75" s="230"/>
      <c r="IO75" s="230"/>
      <c r="IP75" s="230"/>
      <c r="IQ75" s="230"/>
    </row>
    <row r="76" spans="1:251" s="73" customFormat="1">
      <c r="A76" s="696" t="s">
        <v>3809</v>
      </c>
      <c r="B76" s="72"/>
      <c r="C76" s="194">
        <v>140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0"/>
      <c r="EM76" s="230"/>
      <c r="EN76" s="230"/>
      <c r="EO76" s="230"/>
      <c r="EP76" s="230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30"/>
      <c r="FD76" s="230"/>
      <c r="FE76" s="230"/>
      <c r="FF76" s="230"/>
      <c r="FG76" s="230"/>
      <c r="FH76" s="230"/>
      <c r="FI76" s="230"/>
      <c r="FJ76" s="230"/>
      <c r="FK76" s="230"/>
      <c r="FL76" s="230"/>
      <c r="FM76" s="230"/>
      <c r="FN76" s="230"/>
      <c r="FO76" s="230"/>
      <c r="FP76" s="230"/>
      <c r="FQ76" s="230"/>
      <c r="FR76" s="230"/>
      <c r="FS76" s="230"/>
      <c r="FT76" s="230"/>
      <c r="FU76" s="230"/>
      <c r="FV76" s="230"/>
      <c r="FW76" s="230"/>
      <c r="FX76" s="230"/>
      <c r="FY76" s="230"/>
      <c r="FZ76" s="230"/>
      <c r="GA76" s="230"/>
      <c r="GB76" s="230"/>
      <c r="GC76" s="230"/>
      <c r="GD76" s="230"/>
      <c r="GE76" s="230"/>
      <c r="GF76" s="230"/>
      <c r="GG76" s="230"/>
      <c r="GH76" s="230"/>
      <c r="GI76" s="230"/>
      <c r="GJ76" s="230"/>
      <c r="GK76" s="230"/>
      <c r="GL76" s="230"/>
      <c r="GM76" s="230"/>
      <c r="GN76" s="230"/>
      <c r="GO76" s="230"/>
      <c r="GP76" s="230"/>
      <c r="GQ76" s="230"/>
      <c r="GR76" s="230"/>
      <c r="GS76" s="230"/>
      <c r="GT76" s="230"/>
      <c r="GU76" s="230"/>
      <c r="GV76" s="230"/>
      <c r="GW76" s="230"/>
      <c r="GX76" s="230"/>
      <c r="GY76" s="230"/>
      <c r="GZ76" s="230"/>
      <c r="HA76" s="230"/>
      <c r="HB76" s="230"/>
      <c r="HC76" s="230"/>
      <c r="HD76" s="230"/>
      <c r="HE76" s="230"/>
      <c r="HF76" s="230"/>
      <c r="HG76" s="230"/>
      <c r="HH76" s="230"/>
      <c r="HI76" s="230"/>
      <c r="HJ76" s="230"/>
      <c r="HK76" s="230"/>
      <c r="HL76" s="230"/>
      <c r="HM76" s="230"/>
      <c r="HN76" s="230"/>
      <c r="HO76" s="230"/>
      <c r="HP76" s="230"/>
      <c r="HQ76" s="230"/>
      <c r="HR76" s="230"/>
      <c r="HS76" s="230"/>
      <c r="HT76" s="230"/>
      <c r="HU76" s="230"/>
      <c r="HV76" s="230"/>
      <c r="HW76" s="230"/>
      <c r="HX76" s="230"/>
      <c r="HY76" s="230"/>
      <c r="HZ76" s="230"/>
      <c r="IA76" s="230"/>
      <c r="IB76" s="230"/>
      <c r="IC76" s="230"/>
      <c r="ID76" s="230"/>
      <c r="IE76" s="230"/>
      <c r="IF76" s="230"/>
      <c r="IG76" s="230"/>
      <c r="IH76" s="230"/>
      <c r="II76" s="230"/>
      <c r="IJ76" s="230"/>
      <c r="IK76" s="230"/>
      <c r="IL76" s="230"/>
      <c r="IM76" s="230"/>
      <c r="IN76" s="230"/>
      <c r="IO76" s="230"/>
      <c r="IP76" s="230"/>
      <c r="IQ76" s="230"/>
    </row>
    <row r="77" spans="1:251" s="73" customFormat="1">
      <c r="A77" s="650" t="s">
        <v>603</v>
      </c>
      <c r="B77" s="72"/>
      <c r="C77" s="194">
        <f>(C75+C76)*140*1.302*1.8</f>
        <v>79433.978400000007</v>
      </c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  <c r="CM77" s="230"/>
      <c r="CN77" s="230"/>
      <c r="CO77" s="230"/>
      <c r="CP77" s="230"/>
      <c r="CQ77" s="230"/>
      <c r="CR77" s="230"/>
      <c r="CS77" s="230"/>
      <c r="CT77" s="230"/>
      <c r="CU77" s="230"/>
      <c r="CV77" s="230"/>
      <c r="CW77" s="230"/>
      <c r="CX77" s="230"/>
      <c r="CY77" s="230"/>
      <c r="CZ77" s="230"/>
      <c r="DA77" s="230"/>
      <c r="DB77" s="230"/>
      <c r="DC77" s="230"/>
      <c r="DD77" s="230"/>
      <c r="DE77" s="230"/>
      <c r="DF77" s="230"/>
      <c r="DG77" s="230"/>
      <c r="DH77" s="230"/>
      <c r="DI77" s="230"/>
      <c r="DJ77" s="230"/>
      <c r="DK77" s="230"/>
      <c r="DL77" s="230"/>
      <c r="DM77" s="230"/>
      <c r="DN77" s="230"/>
      <c r="DO77" s="230"/>
      <c r="DP77" s="230"/>
      <c r="DQ77" s="230"/>
      <c r="DR77" s="230"/>
      <c r="DS77" s="230"/>
      <c r="DT77" s="230"/>
      <c r="DU77" s="230"/>
      <c r="DV77" s="230"/>
      <c r="DW77" s="230"/>
      <c r="DX77" s="230"/>
      <c r="DY77" s="230"/>
      <c r="DZ77" s="230"/>
      <c r="EA77" s="230"/>
      <c r="EB77" s="230"/>
      <c r="EC77" s="230"/>
      <c r="ED77" s="230"/>
      <c r="EE77" s="230"/>
      <c r="EF77" s="230"/>
      <c r="EG77" s="230"/>
      <c r="EH77" s="230"/>
      <c r="EI77" s="230"/>
      <c r="EJ77" s="230"/>
      <c r="EK77" s="230"/>
      <c r="EL77" s="230"/>
      <c r="EM77" s="230"/>
      <c r="EN77" s="230"/>
      <c r="EO77" s="230"/>
      <c r="EP77" s="230"/>
      <c r="EQ77" s="230"/>
      <c r="ER77" s="230"/>
      <c r="ES77" s="230"/>
      <c r="ET77" s="230"/>
      <c r="EU77" s="230"/>
      <c r="EV77" s="230"/>
      <c r="EW77" s="230"/>
      <c r="EX77" s="230"/>
      <c r="EY77" s="230"/>
      <c r="EZ77" s="230"/>
      <c r="FA77" s="230"/>
      <c r="FB77" s="230"/>
      <c r="FC77" s="230"/>
      <c r="FD77" s="230"/>
      <c r="FE77" s="230"/>
      <c r="FF77" s="230"/>
      <c r="FG77" s="230"/>
      <c r="FH77" s="230"/>
      <c r="FI77" s="230"/>
      <c r="FJ77" s="230"/>
      <c r="FK77" s="230"/>
      <c r="FL77" s="230"/>
      <c r="FM77" s="230"/>
      <c r="FN77" s="230"/>
      <c r="FO77" s="230"/>
      <c r="FP77" s="230"/>
      <c r="FQ77" s="230"/>
      <c r="FR77" s="230"/>
      <c r="FS77" s="230"/>
      <c r="FT77" s="230"/>
      <c r="FU77" s="230"/>
      <c r="FV77" s="230"/>
      <c r="FW77" s="230"/>
      <c r="FX77" s="230"/>
      <c r="FY77" s="230"/>
      <c r="FZ77" s="230"/>
      <c r="GA77" s="230"/>
      <c r="GB77" s="230"/>
      <c r="GC77" s="230"/>
      <c r="GD77" s="230"/>
      <c r="GE77" s="230"/>
      <c r="GF77" s="230"/>
      <c r="GG77" s="230"/>
      <c r="GH77" s="230"/>
      <c r="GI77" s="230"/>
      <c r="GJ77" s="230"/>
      <c r="GK77" s="230"/>
      <c r="GL77" s="230"/>
      <c r="GM77" s="230"/>
      <c r="GN77" s="230"/>
      <c r="GO77" s="230"/>
      <c r="GP77" s="230"/>
      <c r="GQ77" s="230"/>
      <c r="GR77" s="230"/>
      <c r="GS77" s="230"/>
      <c r="GT77" s="230"/>
      <c r="GU77" s="230"/>
      <c r="GV77" s="230"/>
      <c r="GW77" s="230"/>
      <c r="GX77" s="230"/>
      <c r="GY77" s="230"/>
      <c r="GZ77" s="230"/>
      <c r="HA77" s="230"/>
      <c r="HB77" s="230"/>
      <c r="HC77" s="230"/>
      <c r="HD77" s="230"/>
      <c r="HE77" s="230"/>
      <c r="HF77" s="230"/>
      <c r="HG77" s="230"/>
      <c r="HH77" s="230"/>
      <c r="HI77" s="230"/>
      <c r="HJ77" s="230"/>
      <c r="HK77" s="230"/>
      <c r="HL77" s="230"/>
      <c r="HM77" s="230"/>
      <c r="HN77" s="230"/>
      <c r="HO77" s="230"/>
      <c r="HP77" s="230"/>
      <c r="HQ77" s="230"/>
      <c r="HR77" s="230"/>
      <c r="HS77" s="230"/>
      <c r="HT77" s="230"/>
      <c r="HU77" s="230"/>
      <c r="HV77" s="230"/>
      <c r="HW77" s="230"/>
      <c r="HX77" s="230"/>
      <c r="HY77" s="230"/>
      <c r="HZ77" s="230"/>
      <c r="IA77" s="230"/>
      <c r="IB77" s="230"/>
      <c r="IC77" s="230"/>
      <c r="ID77" s="230"/>
      <c r="IE77" s="230"/>
      <c r="IF77" s="230"/>
      <c r="IG77" s="230"/>
      <c r="IH77" s="230"/>
      <c r="II77" s="230"/>
      <c r="IJ77" s="230"/>
      <c r="IK77" s="230"/>
      <c r="IL77" s="230"/>
      <c r="IM77" s="230"/>
      <c r="IN77" s="230"/>
      <c r="IO77" s="230"/>
      <c r="IP77" s="230"/>
      <c r="IQ77" s="230"/>
    </row>
    <row r="78" spans="1:251" s="73" customFormat="1">
      <c r="A78" s="650" t="s">
        <v>1127</v>
      </c>
      <c r="B78" s="72"/>
      <c r="C78" s="194">
        <f>5446*1.8</f>
        <v>9802.8000000000011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/>
      <c r="CL78" s="230"/>
      <c r="CM78" s="230"/>
      <c r="CN78" s="230"/>
      <c r="CO78" s="230"/>
      <c r="CP78" s="230"/>
      <c r="CQ78" s="230"/>
      <c r="CR78" s="230"/>
      <c r="CS78" s="230"/>
      <c r="CT78" s="230"/>
      <c r="CU78" s="230"/>
      <c r="CV78" s="230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H78" s="230"/>
      <c r="DI78" s="230"/>
      <c r="DJ78" s="230"/>
      <c r="DK78" s="230"/>
      <c r="DL78" s="230"/>
      <c r="DM78" s="230"/>
      <c r="DN78" s="230"/>
      <c r="DO78" s="230"/>
      <c r="DP78" s="230"/>
      <c r="DQ78" s="230"/>
      <c r="DR78" s="230"/>
      <c r="DS78" s="230"/>
      <c r="DT78" s="230"/>
      <c r="DU78" s="230"/>
      <c r="DV78" s="230"/>
      <c r="DW78" s="230"/>
      <c r="DX78" s="230"/>
      <c r="DY78" s="230"/>
      <c r="DZ78" s="230"/>
      <c r="EA78" s="230"/>
      <c r="EB78" s="230"/>
      <c r="EC78" s="230"/>
      <c r="ED78" s="230"/>
      <c r="EE78" s="230"/>
      <c r="EF78" s="230"/>
      <c r="EG78" s="230"/>
      <c r="EH78" s="230"/>
      <c r="EI78" s="230"/>
      <c r="EJ78" s="230"/>
      <c r="EK78" s="230"/>
      <c r="EL78" s="230"/>
      <c r="EM78" s="230"/>
      <c r="EN78" s="230"/>
      <c r="EO78" s="230"/>
      <c r="EP78" s="230"/>
      <c r="EQ78" s="230"/>
      <c r="ER78" s="230"/>
      <c r="ES78" s="230"/>
      <c r="ET78" s="230"/>
      <c r="EU78" s="230"/>
      <c r="EV78" s="230"/>
      <c r="EW78" s="230"/>
      <c r="EX78" s="230"/>
      <c r="EY78" s="230"/>
      <c r="EZ78" s="230"/>
      <c r="FA78" s="230"/>
      <c r="FB78" s="230"/>
      <c r="FC78" s="230"/>
      <c r="FD78" s="230"/>
      <c r="FE78" s="230"/>
      <c r="FF78" s="230"/>
      <c r="FG78" s="230"/>
      <c r="FH78" s="230"/>
      <c r="FI78" s="230"/>
      <c r="FJ78" s="230"/>
      <c r="FK78" s="230"/>
      <c r="FL78" s="230"/>
      <c r="FM78" s="230"/>
      <c r="FN78" s="230"/>
      <c r="FO78" s="230"/>
      <c r="FP78" s="230"/>
      <c r="FQ78" s="230"/>
      <c r="FR78" s="230"/>
      <c r="FS78" s="230"/>
      <c r="FT78" s="230"/>
      <c r="FU78" s="230"/>
      <c r="FV78" s="230"/>
      <c r="FW78" s="230"/>
      <c r="FX78" s="230"/>
      <c r="FY78" s="230"/>
      <c r="FZ78" s="230"/>
      <c r="GA78" s="230"/>
      <c r="GB78" s="230"/>
      <c r="GC78" s="230"/>
      <c r="GD78" s="230"/>
      <c r="GE78" s="230"/>
      <c r="GF78" s="230"/>
      <c r="GG78" s="230"/>
      <c r="GH78" s="230"/>
      <c r="GI78" s="230"/>
      <c r="GJ78" s="230"/>
      <c r="GK78" s="230"/>
      <c r="GL78" s="230"/>
      <c r="GM78" s="230"/>
      <c r="GN78" s="230"/>
      <c r="GO78" s="230"/>
      <c r="GP78" s="230"/>
      <c r="GQ78" s="230"/>
      <c r="GR78" s="230"/>
      <c r="GS78" s="230"/>
      <c r="GT78" s="230"/>
      <c r="GU78" s="230"/>
      <c r="GV78" s="230"/>
      <c r="GW78" s="230"/>
      <c r="GX78" s="230"/>
      <c r="GY78" s="230"/>
      <c r="GZ78" s="230"/>
      <c r="HA78" s="230"/>
      <c r="HB78" s="230"/>
      <c r="HC78" s="230"/>
      <c r="HD78" s="230"/>
      <c r="HE78" s="230"/>
      <c r="HF78" s="230"/>
      <c r="HG78" s="230"/>
      <c r="HH78" s="230"/>
      <c r="HI78" s="230"/>
      <c r="HJ78" s="230"/>
      <c r="HK78" s="230"/>
      <c r="HL78" s="230"/>
      <c r="HM78" s="230"/>
      <c r="HN78" s="230"/>
      <c r="HO78" s="230"/>
      <c r="HP78" s="230"/>
      <c r="HQ78" s="230"/>
      <c r="HR78" s="230"/>
      <c r="HS78" s="230"/>
      <c r="HT78" s="230"/>
      <c r="HU78" s="230"/>
      <c r="HV78" s="230"/>
      <c r="HW78" s="230"/>
      <c r="HX78" s="230"/>
      <c r="HY78" s="230"/>
      <c r="HZ78" s="230"/>
      <c r="IA78" s="230"/>
      <c r="IB78" s="230"/>
      <c r="IC78" s="230"/>
      <c r="ID78" s="230"/>
      <c r="IE78" s="230"/>
      <c r="IF78" s="230"/>
      <c r="IG78" s="230"/>
      <c r="IH78" s="230"/>
      <c r="II78" s="230"/>
      <c r="IJ78" s="230"/>
      <c r="IK78" s="230"/>
      <c r="IL78" s="230"/>
      <c r="IM78" s="230"/>
      <c r="IN78" s="230"/>
      <c r="IO78" s="230"/>
      <c r="IP78" s="230"/>
      <c r="IQ78" s="230"/>
    </row>
    <row r="79" spans="1:251" s="73" customFormat="1">
      <c r="A79" s="650" t="s">
        <v>1128</v>
      </c>
      <c r="B79" s="72"/>
      <c r="C79" s="194">
        <v>0</v>
      </c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0"/>
      <c r="CH79" s="230"/>
      <c r="CI79" s="230"/>
      <c r="CJ79" s="230"/>
      <c r="CK79" s="230"/>
      <c r="CL79" s="230"/>
      <c r="CM79" s="230"/>
      <c r="CN79" s="230"/>
      <c r="CO79" s="230"/>
      <c r="CP79" s="230"/>
      <c r="CQ79" s="230"/>
      <c r="CR79" s="230"/>
      <c r="CS79" s="230"/>
      <c r="CT79" s="230"/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0"/>
      <c r="DI79" s="230"/>
      <c r="DJ79" s="230"/>
      <c r="DK79" s="230"/>
      <c r="DL79" s="230"/>
      <c r="DM79" s="230"/>
      <c r="DN79" s="230"/>
      <c r="DO79" s="230"/>
      <c r="DP79" s="230"/>
      <c r="DQ79" s="230"/>
      <c r="DR79" s="230"/>
      <c r="DS79" s="230"/>
      <c r="DT79" s="230"/>
      <c r="DU79" s="230"/>
      <c r="DV79" s="230"/>
      <c r="DW79" s="230"/>
      <c r="DX79" s="230"/>
      <c r="DY79" s="230"/>
      <c r="DZ79" s="230"/>
      <c r="EA79" s="230"/>
      <c r="EB79" s="230"/>
      <c r="EC79" s="230"/>
      <c r="ED79" s="230"/>
      <c r="EE79" s="230"/>
      <c r="EF79" s="230"/>
      <c r="EG79" s="230"/>
      <c r="EH79" s="230"/>
      <c r="EI79" s="230"/>
      <c r="EJ79" s="230"/>
      <c r="EK79" s="230"/>
      <c r="EL79" s="230"/>
      <c r="EM79" s="230"/>
      <c r="EN79" s="230"/>
      <c r="EO79" s="230"/>
      <c r="EP79" s="230"/>
      <c r="EQ79" s="230"/>
      <c r="ER79" s="230"/>
      <c r="ES79" s="230"/>
      <c r="ET79" s="230"/>
      <c r="EU79" s="230"/>
      <c r="EV79" s="230"/>
      <c r="EW79" s="230"/>
      <c r="EX79" s="230"/>
      <c r="EY79" s="230"/>
      <c r="EZ79" s="230"/>
      <c r="FA79" s="230"/>
      <c r="FB79" s="230"/>
      <c r="FC79" s="230"/>
      <c r="FD79" s="230"/>
      <c r="FE79" s="230"/>
      <c r="FF79" s="230"/>
      <c r="FG79" s="230"/>
      <c r="FH79" s="230"/>
      <c r="FI79" s="230"/>
      <c r="FJ79" s="230"/>
      <c r="FK79" s="230"/>
      <c r="FL79" s="230"/>
      <c r="FM79" s="230"/>
      <c r="FN79" s="230"/>
      <c r="FO79" s="230"/>
      <c r="FP79" s="230"/>
      <c r="FQ79" s="230"/>
      <c r="FR79" s="230"/>
      <c r="FS79" s="230"/>
      <c r="FT79" s="230"/>
      <c r="FU79" s="230"/>
      <c r="FV79" s="230"/>
      <c r="FW79" s="230"/>
      <c r="FX79" s="230"/>
      <c r="FY79" s="230"/>
      <c r="FZ79" s="230"/>
      <c r="GA79" s="230"/>
      <c r="GB79" s="230"/>
      <c r="GC79" s="230"/>
      <c r="GD79" s="230"/>
      <c r="GE79" s="230"/>
      <c r="GF79" s="230"/>
      <c r="GG79" s="230"/>
      <c r="GH79" s="230"/>
      <c r="GI79" s="230"/>
      <c r="GJ79" s="230"/>
      <c r="GK79" s="230"/>
      <c r="GL79" s="230"/>
      <c r="GM79" s="230"/>
      <c r="GN79" s="230"/>
      <c r="GO79" s="230"/>
      <c r="GP79" s="230"/>
      <c r="GQ79" s="230"/>
      <c r="GR79" s="230"/>
      <c r="GS79" s="230"/>
      <c r="GT79" s="230"/>
      <c r="GU79" s="230"/>
      <c r="GV79" s="230"/>
      <c r="GW79" s="230"/>
      <c r="GX79" s="230"/>
      <c r="GY79" s="230"/>
      <c r="GZ79" s="230"/>
      <c r="HA79" s="230"/>
      <c r="HB79" s="230"/>
      <c r="HC79" s="230"/>
      <c r="HD79" s="230"/>
      <c r="HE79" s="230"/>
      <c r="HF79" s="230"/>
      <c r="HG79" s="230"/>
      <c r="HH79" s="230"/>
      <c r="HI79" s="230"/>
      <c r="HJ79" s="230"/>
      <c r="HK79" s="230"/>
      <c r="HL79" s="230"/>
      <c r="HM79" s="230"/>
      <c r="HN79" s="230"/>
      <c r="HO79" s="230"/>
      <c r="HP79" s="230"/>
      <c r="HQ79" s="230"/>
      <c r="HR79" s="230"/>
      <c r="HS79" s="230"/>
      <c r="HT79" s="230"/>
      <c r="HU79" s="230"/>
      <c r="HV79" s="230"/>
      <c r="HW79" s="230"/>
      <c r="HX79" s="230"/>
      <c r="HY79" s="230"/>
      <c r="HZ79" s="230"/>
      <c r="IA79" s="230"/>
      <c r="IB79" s="230"/>
      <c r="IC79" s="230"/>
      <c r="ID79" s="230"/>
      <c r="IE79" s="230"/>
      <c r="IF79" s="230"/>
      <c r="IG79" s="230"/>
      <c r="IH79" s="230"/>
      <c r="II79" s="230"/>
      <c r="IJ79" s="230"/>
      <c r="IK79" s="230"/>
      <c r="IL79" s="230"/>
      <c r="IM79" s="230"/>
      <c r="IN79" s="230"/>
      <c r="IO79" s="230"/>
      <c r="IP79" s="230"/>
      <c r="IQ79" s="230"/>
    </row>
    <row r="80" spans="1:251" s="73" customFormat="1">
      <c r="A80" s="650" t="s">
        <v>724</v>
      </c>
      <c r="B80" s="72"/>
      <c r="C80" s="194">
        <f>2784.37*1.8</f>
        <v>5011.866</v>
      </c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H80" s="230"/>
      <c r="DI80" s="230"/>
      <c r="DJ80" s="230"/>
      <c r="DK80" s="230"/>
      <c r="DL80" s="230"/>
      <c r="DM80" s="230"/>
      <c r="DN80" s="230"/>
      <c r="DO80" s="230"/>
      <c r="DP80" s="230"/>
      <c r="DQ80" s="230"/>
      <c r="DR80" s="230"/>
      <c r="DS80" s="230"/>
      <c r="DT80" s="230"/>
      <c r="DU80" s="230"/>
      <c r="DV80" s="230"/>
      <c r="DW80" s="230"/>
      <c r="DX80" s="230"/>
      <c r="DY80" s="230"/>
      <c r="DZ80" s="230"/>
      <c r="EA80" s="230"/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0"/>
      <c r="EP80" s="230"/>
      <c r="EQ80" s="230"/>
      <c r="ER80" s="230"/>
      <c r="ES80" s="230"/>
      <c r="ET80" s="230"/>
      <c r="EU80" s="230"/>
      <c r="EV80" s="230"/>
      <c r="EW80" s="230"/>
      <c r="EX80" s="230"/>
      <c r="EY80" s="230"/>
      <c r="EZ80" s="230"/>
      <c r="FA80" s="230"/>
      <c r="FB80" s="230"/>
      <c r="FC80" s="230"/>
      <c r="FD80" s="230"/>
      <c r="FE80" s="230"/>
      <c r="FF80" s="230"/>
      <c r="FG80" s="230"/>
      <c r="FH80" s="230"/>
      <c r="FI80" s="230"/>
      <c r="FJ80" s="230"/>
      <c r="FK80" s="230"/>
      <c r="FL80" s="230"/>
      <c r="FM80" s="230"/>
      <c r="FN80" s="230"/>
      <c r="FO80" s="230"/>
      <c r="FP80" s="230"/>
      <c r="FQ80" s="230"/>
      <c r="FR80" s="230"/>
      <c r="FS80" s="230"/>
      <c r="FT80" s="230"/>
      <c r="FU80" s="230"/>
      <c r="FV80" s="230"/>
      <c r="FW80" s="230"/>
      <c r="FX80" s="230"/>
      <c r="FY80" s="230"/>
      <c r="FZ80" s="230"/>
      <c r="GA80" s="230"/>
      <c r="GB80" s="230"/>
      <c r="GC80" s="230"/>
      <c r="GD80" s="230"/>
      <c r="GE80" s="230"/>
      <c r="GF80" s="230"/>
      <c r="GG80" s="230"/>
      <c r="GH80" s="230"/>
      <c r="GI80" s="230"/>
      <c r="GJ80" s="230"/>
      <c r="GK80" s="230"/>
      <c r="GL80" s="230"/>
      <c r="GM80" s="230"/>
      <c r="GN80" s="230"/>
      <c r="GO80" s="230"/>
      <c r="GP80" s="230"/>
      <c r="GQ80" s="230"/>
      <c r="GR80" s="230"/>
      <c r="GS80" s="230"/>
      <c r="GT80" s="230"/>
      <c r="GU80" s="230"/>
      <c r="GV80" s="230"/>
      <c r="GW80" s="230"/>
      <c r="GX80" s="230"/>
      <c r="GY80" s="230"/>
      <c r="GZ80" s="230"/>
      <c r="HA80" s="230"/>
      <c r="HB80" s="230"/>
      <c r="HC80" s="230"/>
      <c r="HD80" s="230"/>
      <c r="HE80" s="230"/>
      <c r="HF80" s="230"/>
      <c r="HG80" s="230"/>
      <c r="HH80" s="230"/>
      <c r="HI80" s="230"/>
      <c r="HJ80" s="230"/>
      <c r="HK80" s="230"/>
      <c r="HL80" s="230"/>
      <c r="HM80" s="230"/>
      <c r="HN80" s="230"/>
      <c r="HO80" s="230"/>
      <c r="HP80" s="230"/>
      <c r="HQ80" s="230"/>
      <c r="HR80" s="230"/>
      <c r="HS80" s="230"/>
      <c r="HT80" s="230"/>
      <c r="HU80" s="230"/>
      <c r="HV80" s="230"/>
      <c r="HW80" s="230"/>
      <c r="HX80" s="230"/>
      <c r="HY80" s="230"/>
      <c r="HZ80" s="230"/>
      <c r="IA80" s="230"/>
      <c r="IB80" s="230"/>
      <c r="IC80" s="230"/>
      <c r="ID80" s="230"/>
      <c r="IE80" s="230"/>
      <c r="IF80" s="230"/>
      <c r="IG80" s="230"/>
      <c r="IH80" s="230"/>
      <c r="II80" s="230"/>
      <c r="IJ80" s="230"/>
      <c r="IK80" s="230"/>
      <c r="IL80" s="230"/>
      <c r="IM80" s="230"/>
      <c r="IN80" s="230"/>
      <c r="IO80" s="230"/>
      <c r="IP80" s="230"/>
      <c r="IQ80" s="230"/>
    </row>
    <row r="81" spans="1:251" s="73" customFormat="1">
      <c r="A81" s="650" t="s">
        <v>1577</v>
      </c>
      <c r="B81" s="72"/>
      <c r="C81" s="194">
        <f>C66-C68</f>
        <v>12607.493719941063</v>
      </c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30"/>
      <c r="CO81" s="230"/>
      <c r="CP81" s="230"/>
      <c r="CQ81" s="230"/>
      <c r="CR81" s="230"/>
      <c r="CS81" s="230"/>
      <c r="CT81" s="230"/>
      <c r="CU81" s="230"/>
      <c r="CV81" s="230"/>
      <c r="CW81" s="230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H81" s="230"/>
      <c r="DI81" s="230"/>
      <c r="DJ81" s="230"/>
      <c r="DK81" s="230"/>
      <c r="DL81" s="230"/>
      <c r="DM81" s="230"/>
      <c r="DN81" s="230"/>
      <c r="DO81" s="230"/>
      <c r="DP81" s="230"/>
      <c r="DQ81" s="230"/>
      <c r="DR81" s="230"/>
      <c r="DS81" s="230"/>
      <c r="DT81" s="230"/>
      <c r="DU81" s="230"/>
      <c r="DV81" s="230"/>
      <c r="DW81" s="230"/>
      <c r="DX81" s="230"/>
      <c r="DY81" s="230"/>
      <c r="DZ81" s="230"/>
      <c r="EA81" s="230"/>
      <c r="EB81" s="230"/>
      <c r="EC81" s="230"/>
      <c r="ED81" s="230"/>
      <c r="EE81" s="230"/>
      <c r="EF81" s="230"/>
      <c r="EG81" s="230"/>
      <c r="EH81" s="230"/>
      <c r="EI81" s="230"/>
      <c r="EJ81" s="230"/>
      <c r="EK81" s="230"/>
      <c r="EL81" s="230"/>
      <c r="EM81" s="230"/>
      <c r="EN81" s="230"/>
      <c r="EO81" s="230"/>
      <c r="EP81" s="230"/>
      <c r="EQ81" s="230"/>
      <c r="ER81" s="230"/>
      <c r="ES81" s="230"/>
      <c r="ET81" s="230"/>
      <c r="EU81" s="230"/>
      <c r="EV81" s="230"/>
      <c r="EW81" s="230"/>
      <c r="EX81" s="230"/>
      <c r="EY81" s="230"/>
      <c r="EZ81" s="230"/>
      <c r="FA81" s="230"/>
      <c r="FB81" s="230"/>
      <c r="FC81" s="230"/>
      <c r="FD81" s="230"/>
      <c r="FE81" s="230"/>
      <c r="FF81" s="230"/>
      <c r="FG81" s="230"/>
      <c r="FH81" s="230"/>
      <c r="FI81" s="230"/>
      <c r="FJ81" s="230"/>
      <c r="FK81" s="230"/>
      <c r="FL81" s="230"/>
      <c r="FM81" s="230"/>
      <c r="FN81" s="230"/>
      <c r="FO81" s="230"/>
      <c r="FP81" s="230"/>
      <c r="FQ81" s="230"/>
      <c r="FR81" s="230"/>
      <c r="FS81" s="230"/>
      <c r="FT81" s="230"/>
      <c r="FU81" s="230"/>
      <c r="FV81" s="230"/>
      <c r="FW81" s="230"/>
      <c r="FX81" s="230"/>
      <c r="FY81" s="230"/>
      <c r="FZ81" s="230"/>
      <c r="GA81" s="230"/>
      <c r="GB81" s="230"/>
      <c r="GC81" s="230"/>
      <c r="GD81" s="230"/>
      <c r="GE81" s="230"/>
      <c r="GF81" s="230"/>
      <c r="GG81" s="230"/>
      <c r="GH81" s="230"/>
      <c r="GI81" s="230"/>
      <c r="GJ81" s="230"/>
      <c r="GK81" s="230"/>
      <c r="GL81" s="230"/>
      <c r="GM81" s="230"/>
      <c r="GN81" s="230"/>
      <c r="GO81" s="230"/>
      <c r="GP81" s="230"/>
      <c r="GQ81" s="230"/>
      <c r="GR81" s="230"/>
      <c r="GS81" s="230"/>
      <c r="GT81" s="230"/>
      <c r="GU81" s="230"/>
      <c r="GV81" s="230"/>
      <c r="GW81" s="230"/>
      <c r="GX81" s="230"/>
      <c r="GY81" s="230"/>
      <c r="GZ81" s="230"/>
      <c r="HA81" s="230"/>
      <c r="HB81" s="230"/>
      <c r="HC81" s="230"/>
      <c r="HD81" s="230"/>
      <c r="HE81" s="230"/>
      <c r="HF81" s="230"/>
      <c r="HG81" s="230"/>
      <c r="HH81" s="230"/>
      <c r="HI81" s="230"/>
      <c r="HJ81" s="230"/>
      <c r="HK81" s="230"/>
      <c r="HL81" s="230"/>
      <c r="HM81" s="230"/>
      <c r="HN81" s="230"/>
      <c r="HO81" s="230"/>
      <c r="HP81" s="230"/>
      <c r="HQ81" s="230"/>
      <c r="HR81" s="230"/>
      <c r="HS81" s="230"/>
      <c r="HT81" s="230"/>
      <c r="HU81" s="230"/>
      <c r="HV81" s="230"/>
      <c r="HW81" s="230"/>
      <c r="HX81" s="230"/>
      <c r="HY81" s="230"/>
      <c r="HZ81" s="230"/>
      <c r="IA81" s="230"/>
      <c r="IB81" s="230"/>
      <c r="IC81" s="230"/>
      <c r="ID81" s="230"/>
      <c r="IE81" s="230"/>
      <c r="IF81" s="230"/>
      <c r="IG81" s="230"/>
      <c r="IH81" s="230"/>
      <c r="II81" s="230"/>
      <c r="IJ81" s="230"/>
      <c r="IK81" s="230"/>
      <c r="IL81" s="230"/>
      <c r="IM81" s="230"/>
      <c r="IN81" s="230"/>
      <c r="IO81" s="230"/>
      <c r="IP81" s="230"/>
      <c r="IQ81" s="230"/>
    </row>
    <row r="82" spans="1:251" s="73" customForma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  <c r="FH82" s="230"/>
      <c r="FI82" s="230"/>
      <c r="FJ82" s="230"/>
      <c r="FK82" s="230"/>
      <c r="FL82" s="230"/>
      <c r="FM82" s="230"/>
      <c r="FN82" s="230"/>
      <c r="FO82" s="230"/>
      <c r="FP82" s="230"/>
      <c r="FQ82" s="230"/>
      <c r="FR82" s="230"/>
      <c r="FS82" s="230"/>
      <c r="FT82" s="230"/>
      <c r="FU82" s="230"/>
      <c r="FV82" s="230"/>
      <c r="FW82" s="230"/>
      <c r="FX82" s="230"/>
      <c r="FY82" s="230"/>
      <c r="FZ82" s="230"/>
      <c r="GA82" s="230"/>
      <c r="GB82" s="230"/>
      <c r="GC82" s="230"/>
      <c r="GD82" s="230"/>
      <c r="GE82" s="230"/>
      <c r="GF82" s="230"/>
      <c r="GG82" s="230"/>
      <c r="GH82" s="230"/>
      <c r="GI82" s="230"/>
      <c r="GJ82" s="230"/>
      <c r="GK82" s="230"/>
      <c r="GL82" s="230"/>
      <c r="GM82" s="230"/>
      <c r="GN82" s="230"/>
      <c r="GO82" s="230"/>
      <c r="GP82" s="230"/>
      <c r="GQ82" s="230"/>
      <c r="GR82" s="230"/>
      <c r="GS82" s="230"/>
      <c r="GT82" s="230"/>
      <c r="GU82" s="230"/>
      <c r="GV82" s="230"/>
      <c r="GW82" s="230"/>
      <c r="GX82" s="230"/>
      <c r="GY82" s="230"/>
      <c r="GZ82" s="230"/>
      <c r="HA82" s="230"/>
      <c r="HB82" s="230"/>
      <c r="HC82" s="230"/>
      <c r="HD82" s="230"/>
      <c r="HE82" s="230"/>
      <c r="HF82" s="230"/>
      <c r="HG82" s="230"/>
      <c r="HH82" s="230"/>
      <c r="HI82" s="230"/>
      <c r="HJ82" s="230"/>
      <c r="HK82" s="230"/>
      <c r="HL82" s="230"/>
      <c r="HM82" s="230"/>
      <c r="HN82" s="230"/>
      <c r="HO82" s="230"/>
      <c r="HP82" s="230"/>
      <c r="HQ82" s="230"/>
      <c r="HR82" s="230"/>
      <c r="HS82" s="230"/>
      <c r="HT82" s="230"/>
      <c r="HU82" s="230"/>
      <c r="HV82" s="230"/>
      <c r="HW82" s="230"/>
      <c r="HX82" s="230"/>
      <c r="HY82" s="230"/>
      <c r="HZ82" s="230"/>
      <c r="IA82" s="230"/>
      <c r="IB82" s="230"/>
      <c r="IC82" s="230"/>
      <c r="ID82" s="230"/>
      <c r="IE82" s="230"/>
      <c r="IF82" s="230"/>
      <c r="IG82" s="230"/>
      <c r="IH82" s="230"/>
      <c r="II82" s="230"/>
      <c r="IJ82" s="230"/>
      <c r="IK82" s="230"/>
      <c r="IL82" s="230"/>
      <c r="IM82" s="230"/>
      <c r="IN82" s="230"/>
      <c r="IO82" s="230"/>
      <c r="IP82" s="230"/>
      <c r="IQ82" s="230"/>
    </row>
    <row r="83" spans="1:251" s="73" customFormat="1">
      <c r="A83" s="458" t="s">
        <v>605</v>
      </c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30"/>
      <c r="CO83" s="230"/>
      <c r="CP83" s="230"/>
      <c r="CQ83" s="230"/>
      <c r="CR83" s="230"/>
      <c r="CS83" s="230"/>
      <c r="CT83" s="230"/>
      <c r="CU83" s="230"/>
      <c r="CV83" s="230"/>
      <c r="CW83" s="230"/>
      <c r="CX83" s="230"/>
      <c r="CY83" s="230"/>
      <c r="CZ83" s="230"/>
      <c r="DA83" s="230"/>
      <c r="DB83" s="230"/>
      <c r="DC83" s="230"/>
      <c r="DD83" s="230"/>
      <c r="DE83" s="230"/>
      <c r="DF83" s="230"/>
      <c r="DG83" s="230"/>
      <c r="DH83" s="230"/>
      <c r="DI83" s="230"/>
      <c r="DJ83" s="230"/>
      <c r="DK83" s="230"/>
      <c r="DL83" s="230"/>
      <c r="DM83" s="230"/>
      <c r="DN83" s="230"/>
      <c r="DO83" s="230"/>
      <c r="DP83" s="230"/>
      <c r="DQ83" s="230"/>
      <c r="DR83" s="230"/>
      <c r="DS83" s="230"/>
      <c r="DT83" s="230"/>
      <c r="DU83" s="230"/>
      <c r="DV83" s="230"/>
      <c r="DW83" s="230"/>
      <c r="DX83" s="230"/>
      <c r="DY83" s="230"/>
      <c r="DZ83" s="230"/>
      <c r="EA83" s="230"/>
      <c r="EB83" s="230"/>
      <c r="EC83" s="230"/>
      <c r="ED83" s="230"/>
      <c r="EE83" s="230"/>
      <c r="EF83" s="230"/>
      <c r="EG83" s="230"/>
      <c r="EH83" s="230"/>
      <c r="EI83" s="230"/>
      <c r="EJ83" s="230"/>
      <c r="EK83" s="230"/>
      <c r="EL83" s="230"/>
      <c r="EM83" s="230"/>
      <c r="EN83" s="230"/>
      <c r="EO83" s="230"/>
      <c r="EP83" s="230"/>
      <c r="EQ83" s="230"/>
      <c r="ER83" s="230"/>
      <c r="ES83" s="230"/>
      <c r="ET83" s="230"/>
      <c r="EU83" s="230"/>
      <c r="EV83" s="230"/>
      <c r="EW83" s="230"/>
      <c r="EX83" s="230"/>
      <c r="EY83" s="230"/>
      <c r="EZ83" s="230"/>
      <c r="FA83" s="230"/>
      <c r="FB83" s="230"/>
      <c r="FC83" s="230"/>
      <c r="FD83" s="230"/>
      <c r="FE83" s="230"/>
      <c r="FF83" s="230"/>
      <c r="FG83" s="230"/>
      <c r="FH83" s="230"/>
      <c r="FI83" s="230"/>
      <c r="FJ83" s="230"/>
      <c r="FK83" s="230"/>
      <c r="FL83" s="230"/>
      <c r="FM83" s="230"/>
      <c r="FN83" s="230"/>
      <c r="FO83" s="230"/>
      <c r="FP83" s="230"/>
      <c r="FQ83" s="230"/>
      <c r="FR83" s="230"/>
      <c r="FS83" s="230"/>
      <c r="FT83" s="230"/>
      <c r="FU83" s="230"/>
      <c r="FV83" s="230"/>
      <c r="FW83" s="230"/>
      <c r="FX83" s="230"/>
      <c r="FY83" s="230"/>
      <c r="FZ83" s="230"/>
      <c r="GA83" s="230"/>
      <c r="GB83" s="230"/>
      <c r="GC83" s="230"/>
      <c r="GD83" s="230"/>
      <c r="GE83" s="230"/>
      <c r="GF83" s="230"/>
      <c r="GG83" s="230"/>
      <c r="GH83" s="230"/>
      <c r="GI83" s="230"/>
      <c r="GJ83" s="230"/>
      <c r="GK83" s="230"/>
      <c r="GL83" s="230"/>
      <c r="GM83" s="230"/>
      <c r="GN83" s="230"/>
      <c r="GO83" s="230"/>
      <c r="GP83" s="230"/>
      <c r="GQ83" s="230"/>
      <c r="GR83" s="230"/>
      <c r="GS83" s="230"/>
      <c r="GT83" s="230"/>
      <c r="GU83" s="230"/>
      <c r="GV83" s="230"/>
      <c r="GW83" s="230"/>
      <c r="GX83" s="230"/>
      <c r="GY83" s="230"/>
      <c r="GZ83" s="230"/>
      <c r="HA83" s="230"/>
      <c r="HB83" s="230"/>
      <c r="HC83" s="230"/>
      <c r="HD83" s="230"/>
      <c r="HE83" s="230"/>
      <c r="HF83" s="230"/>
      <c r="HG83" s="230"/>
      <c r="HH83" s="230"/>
      <c r="HI83" s="230"/>
      <c r="HJ83" s="230"/>
      <c r="HK83" s="230"/>
      <c r="HL83" s="230"/>
      <c r="HM83" s="230"/>
      <c r="HN83" s="230"/>
      <c r="HO83" s="230"/>
      <c r="HP83" s="230"/>
      <c r="HQ83" s="230"/>
      <c r="HR83" s="230"/>
      <c r="HS83" s="230"/>
      <c r="HT83" s="230"/>
      <c r="HU83" s="230"/>
      <c r="HV83" s="230"/>
      <c r="HW83" s="230"/>
      <c r="HX83" s="230"/>
      <c r="HY83" s="230"/>
      <c r="HZ83" s="230"/>
      <c r="IA83" s="230"/>
      <c r="IB83" s="230"/>
      <c r="IC83" s="230"/>
      <c r="ID83" s="230"/>
      <c r="IE83" s="230"/>
      <c r="IF83" s="230"/>
      <c r="IG83" s="230"/>
      <c r="IH83" s="230"/>
      <c r="II83" s="230"/>
      <c r="IJ83" s="230"/>
      <c r="IK83" s="230"/>
      <c r="IL83" s="230"/>
      <c r="IM83" s="230"/>
      <c r="IN83" s="230"/>
      <c r="IO83" s="230"/>
      <c r="IP83" s="230"/>
      <c r="IQ83" s="230"/>
    </row>
    <row r="84" spans="1:251" s="75" customFormat="1"/>
    <row r="85" spans="1:251" s="75" customFormat="1">
      <c r="A85" s="402" t="s">
        <v>519</v>
      </c>
      <c r="B85" s="75">
        <f>5.94*C58*12</f>
        <v>75849.047999999995</v>
      </c>
    </row>
    <row r="86" spans="1:251">
      <c r="B86" s="276">
        <f>B85+C68</f>
        <v>245398.99428005895</v>
      </c>
    </row>
    <row r="87" spans="1:251">
      <c r="B87">
        <f>B86/C68</f>
        <v>1.4473551874485064</v>
      </c>
    </row>
  </sheetData>
  <mergeCells count="4">
    <mergeCell ref="A54:C54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R68"/>
  <sheetViews>
    <sheetView topLeftCell="A32" workbookViewId="0">
      <selection activeCell="A34" sqref="A34:C63"/>
    </sheetView>
  </sheetViews>
  <sheetFormatPr defaultRowHeight="15"/>
  <cols>
    <col min="1" max="1" width="73.85546875" customWidth="1"/>
    <col min="2" max="2" width="0.42578125" hidden="1" customWidth="1"/>
    <col min="3" max="3" width="10.42578125" customWidth="1"/>
  </cols>
  <sheetData>
    <row r="1" spans="1:3" ht="15.75">
      <c r="A1" s="758" t="s">
        <v>364</v>
      </c>
      <c r="B1" s="758"/>
      <c r="C1" s="758"/>
    </row>
    <row r="2" spans="1:3">
      <c r="A2" s="759" t="s">
        <v>1578</v>
      </c>
      <c r="B2" s="759"/>
      <c r="C2" s="759"/>
    </row>
    <row r="3" spans="1:3" s="55" customFormat="1">
      <c r="A3" s="759" t="s">
        <v>1585</v>
      </c>
      <c r="B3" s="759"/>
      <c r="C3" s="759"/>
    </row>
    <row r="4" spans="1:3" s="55" customFormat="1">
      <c r="A4" s="158"/>
      <c r="B4" s="86"/>
      <c r="C4" s="86"/>
    </row>
    <row r="5" spans="1:3" ht="30">
      <c r="A5" s="389" t="s">
        <v>229</v>
      </c>
      <c r="B5" s="83" t="s">
        <v>231</v>
      </c>
      <c r="C5" s="82" t="s">
        <v>523</v>
      </c>
    </row>
    <row r="6" spans="1:3" ht="15.75" thickBot="1">
      <c r="A6" s="371" t="s">
        <v>229</v>
      </c>
      <c r="B6" s="73"/>
      <c r="C6" s="73"/>
    </row>
    <row r="7" spans="1:3" ht="15.75" thickBot="1">
      <c r="A7" s="380" t="s">
        <v>29</v>
      </c>
      <c r="B7" s="72"/>
      <c r="C7" s="72"/>
    </row>
    <row r="8" spans="1:3" ht="15.75" thickBot="1">
      <c r="A8" s="383" t="s">
        <v>255</v>
      </c>
      <c r="B8" s="72"/>
      <c r="C8" s="72"/>
    </row>
    <row r="9" spans="1:3" ht="15.75" thickBot="1">
      <c r="A9" s="384" t="s">
        <v>56</v>
      </c>
      <c r="B9" s="72"/>
      <c r="C9" s="72"/>
    </row>
    <row r="10" spans="1:3" ht="15.75" thickBot="1">
      <c r="A10" s="380" t="s">
        <v>57</v>
      </c>
      <c r="B10" s="72"/>
      <c r="C10" s="72"/>
    </row>
    <row r="11" spans="1:3" s="73" customFormat="1">
      <c r="A11" s="72" t="s">
        <v>1434</v>
      </c>
      <c r="B11" s="72"/>
      <c r="C11" s="72">
        <v>12</v>
      </c>
    </row>
    <row r="12" spans="1:3" s="73" customFormat="1" ht="15" customHeight="1">
      <c r="A12" s="374" t="s">
        <v>1437</v>
      </c>
      <c r="B12" s="72" t="s">
        <v>1438</v>
      </c>
      <c r="C12" s="72">
        <v>6</v>
      </c>
    </row>
    <row r="13" spans="1:3" s="73" customFormat="1" ht="375">
      <c r="A13" s="375" t="s">
        <v>1440</v>
      </c>
      <c r="B13" s="94" t="s">
        <v>619</v>
      </c>
      <c r="C13" s="72">
        <v>9</v>
      </c>
    </row>
    <row r="14" spans="1:3" s="73" customFormat="1" ht="375">
      <c r="A14" s="375" t="s">
        <v>1441</v>
      </c>
      <c r="B14" s="94" t="s">
        <v>1442</v>
      </c>
      <c r="C14" s="72">
        <v>6</v>
      </c>
    </row>
    <row r="15" spans="1:3" s="73" customFormat="1" ht="15" customHeight="1">
      <c r="A15" s="375" t="s">
        <v>1451</v>
      </c>
      <c r="B15" s="72" t="s">
        <v>1452</v>
      </c>
      <c r="C15" s="72">
        <v>3</v>
      </c>
    </row>
    <row r="16" spans="1:3" s="75" customFormat="1" ht="15.75" customHeight="1">
      <c r="A16" s="374" t="s">
        <v>1453</v>
      </c>
      <c r="B16" s="72" t="s">
        <v>901</v>
      </c>
      <c r="C16" s="72">
        <v>3</v>
      </c>
    </row>
    <row r="17" spans="1:3" s="75" customFormat="1">
      <c r="A17" s="381" t="s">
        <v>66</v>
      </c>
      <c r="B17" s="81"/>
      <c r="C17" s="81"/>
    </row>
    <row r="18" spans="1:3" s="73" customFormat="1" ht="28.5">
      <c r="A18" s="152" t="s">
        <v>1436</v>
      </c>
      <c r="B18" s="72" t="s">
        <v>649</v>
      </c>
      <c r="C18" s="72">
        <v>5.5</v>
      </c>
    </row>
    <row r="19" spans="1:3" s="73" customFormat="1" ht="21.75" customHeight="1">
      <c r="A19" s="97" t="s">
        <v>1439</v>
      </c>
      <c r="B19" s="94" t="s">
        <v>1264</v>
      </c>
      <c r="C19" s="72">
        <v>6</v>
      </c>
    </row>
    <row r="20" spans="1:3" s="73" customFormat="1" ht="32.25" customHeight="1">
      <c r="A20" s="97" t="s">
        <v>1443</v>
      </c>
      <c r="B20" s="94" t="s">
        <v>1444</v>
      </c>
      <c r="C20" s="72">
        <v>3</v>
      </c>
    </row>
    <row r="21" spans="1:3" s="73" customFormat="1" ht="15" customHeight="1">
      <c r="A21" s="84" t="s">
        <v>1445</v>
      </c>
      <c r="B21" s="72" t="s">
        <v>518</v>
      </c>
      <c r="C21" s="72">
        <v>1</v>
      </c>
    </row>
    <row r="22" spans="1:3" s="73" customFormat="1" ht="18" customHeight="1">
      <c r="A22" s="372" t="s">
        <v>1446</v>
      </c>
      <c r="B22" s="72" t="s">
        <v>1447</v>
      </c>
      <c r="C22" s="72">
        <v>2</v>
      </c>
    </row>
    <row r="23" spans="1:3" s="73" customFormat="1" ht="44.25" customHeight="1">
      <c r="A23" s="372" t="s">
        <v>1448</v>
      </c>
      <c r="B23" s="94" t="s">
        <v>873</v>
      </c>
      <c r="C23" s="72">
        <v>3</v>
      </c>
    </row>
    <row r="24" spans="1:3" s="73" customFormat="1" ht="33" customHeight="1">
      <c r="A24" s="155" t="s">
        <v>1449</v>
      </c>
      <c r="B24" s="72" t="s">
        <v>518</v>
      </c>
      <c r="C24" s="72">
        <v>1</v>
      </c>
    </row>
    <row r="25" spans="1:3" s="75" customFormat="1" ht="18" customHeight="1" thickBot="1">
      <c r="A25" s="382" t="s">
        <v>590</v>
      </c>
      <c r="B25" s="76"/>
      <c r="C25" s="76"/>
    </row>
    <row r="26" spans="1:3" s="73" customFormat="1" ht="15.75" customHeight="1">
      <c r="A26" s="387" t="s">
        <v>102</v>
      </c>
      <c r="B26" s="72"/>
      <c r="C26" s="72"/>
    </row>
    <row r="27" spans="1:3" s="73" customFormat="1" ht="28.5">
      <c r="A27" s="378" t="s">
        <v>1435</v>
      </c>
      <c r="B27" s="72" t="s">
        <v>241</v>
      </c>
      <c r="C27" s="72">
        <v>1</v>
      </c>
    </row>
    <row r="28" spans="1:3" s="73" customFormat="1" ht="42.75">
      <c r="A28" s="378" t="s">
        <v>1450</v>
      </c>
      <c r="B28" s="72" t="s">
        <v>241</v>
      </c>
      <c r="C28" s="72">
        <v>2</v>
      </c>
    </row>
    <row r="29" spans="1:3" s="73" customFormat="1" ht="28.5">
      <c r="A29" s="378" t="s">
        <v>1454</v>
      </c>
      <c r="B29" s="72" t="s">
        <v>241</v>
      </c>
      <c r="C29" s="72">
        <v>1</v>
      </c>
    </row>
    <row r="30" spans="1:3" s="73" customFormat="1" ht="28.5">
      <c r="A30" s="378" t="s">
        <v>1455</v>
      </c>
      <c r="B30" s="72" t="s">
        <v>241</v>
      </c>
      <c r="C30" s="72">
        <v>1</v>
      </c>
    </row>
    <row r="31" spans="1:3" s="73" customFormat="1" ht="15.75" thickBot="1">
      <c r="A31" s="378" t="s">
        <v>1456</v>
      </c>
      <c r="B31" s="72" t="s">
        <v>241</v>
      </c>
      <c r="C31" s="72">
        <v>2</v>
      </c>
    </row>
    <row r="32" spans="1:3" s="75" customFormat="1" ht="15.75" thickBot="1">
      <c r="A32" s="388" t="s">
        <v>104</v>
      </c>
      <c r="B32" s="72"/>
      <c r="C32" s="72">
        <f>SUM(C7:C31)</f>
        <v>67.5</v>
      </c>
    </row>
    <row r="33" spans="1:252">
      <c r="A33" s="1"/>
      <c r="B33" s="73"/>
      <c r="C33" s="73"/>
    </row>
    <row r="34" spans="1:252" s="230" customFormat="1" ht="40.5" customHeight="1">
      <c r="A34" s="434" t="s">
        <v>1561</v>
      </c>
      <c r="IR34" s="73"/>
    </row>
    <row r="35" spans="1:252" s="230" customFormat="1" ht="47.25" customHeight="1">
      <c r="A35" s="426" t="s">
        <v>654</v>
      </c>
      <c r="C35" s="430" t="s">
        <v>1132</v>
      </c>
      <c r="IR35" s="73"/>
    </row>
    <row r="36" spans="1:252" s="73" customFormat="1">
      <c r="A36" s="424" t="s">
        <v>593</v>
      </c>
      <c r="C36" s="196">
        <v>571.01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0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0"/>
      <c r="FF36" s="230"/>
      <c r="FG36" s="230"/>
      <c r="FH36" s="230"/>
      <c r="FI36" s="230"/>
      <c r="FJ36" s="230"/>
      <c r="FK36" s="230"/>
      <c r="FL36" s="230"/>
      <c r="FM36" s="230"/>
      <c r="FN36" s="230"/>
      <c r="FO36" s="230"/>
      <c r="FP36" s="230"/>
      <c r="FQ36" s="230"/>
      <c r="FR36" s="230"/>
      <c r="FS36" s="230"/>
      <c r="FT36" s="230"/>
      <c r="FU36" s="230"/>
      <c r="FV36" s="230"/>
      <c r="FW36" s="230"/>
      <c r="FX36" s="230"/>
      <c r="FY36" s="230"/>
      <c r="FZ36" s="230"/>
      <c r="GA36" s="230"/>
      <c r="GB36" s="230"/>
      <c r="GC36" s="230"/>
      <c r="GD36" s="230"/>
      <c r="GE36" s="230"/>
      <c r="GF36" s="230"/>
      <c r="GG36" s="230"/>
      <c r="GH36" s="230"/>
      <c r="GI36" s="230"/>
      <c r="GJ36" s="230"/>
      <c r="GK36" s="230"/>
      <c r="GL36" s="230"/>
      <c r="GM36" s="230"/>
      <c r="GN36" s="230"/>
      <c r="GO36" s="230"/>
      <c r="GP36" s="230"/>
      <c r="GQ36" s="230"/>
      <c r="GR36" s="230"/>
      <c r="GS36" s="230"/>
      <c r="GT36" s="230"/>
      <c r="GU36" s="230"/>
      <c r="GV36" s="230"/>
      <c r="GW36" s="230"/>
      <c r="GX36" s="230"/>
      <c r="GY36" s="230"/>
      <c r="GZ36" s="230"/>
      <c r="HA36" s="230"/>
      <c r="HB36" s="230"/>
      <c r="HC36" s="230"/>
      <c r="HD36" s="230"/>
      <c r="HE36" s="230"/>
      <c r="HF36" s="230"/>
      <c r="HG36" s="230"/>
      <c r="HH36" s="230"/>
      <c r="HI36" s="230"/>
      <c r="HJ36" s="230"/>
      <c r="HK36" s="230"/>
      <c r="HL36" s="230"/>
      <c r="HM36" s="230"/>
      <c r="HN36" s="230"/>
      <c r="HO36" s="230"/>
      <c r="HP36" s="230"/>
      <c r="HQ36" s="230"/>
      <c r="HR36" s="230"/>
      <c r="HS36" s="230"/>
      <c r="HT36" s="230"/>
      <c r="HU36" s="230"/>
      <c r="HV36" s="230"/>
      <c r="HW36" s="230"/>
      <c r="HX36" s="230"/>
      <c r="HY36" s="230"/>
      <c r="HZ36" s="230"/>
      <c r="IA36" s="230"/>
      <c r="IB36" s="230"/>
      <c r="IC36" s="230"/>
      <c r="ID36" s="230"/>
      <c r="IE36" s="230"/>
      <c r="IF36" s="230"/>
      <c r="IG36" s="230"/>
      <c r="IH36" s="230"/>
      <c r="II36" s="230"/>
      <c r="IJ36" s="230"/>
      <c r="IK36" s="230"/>
      <c r="IL36" s="230"/>
      <c r="IM36" s="230"/>
      <c r="IN36" s="230"/>
      <c r="IO36" s="230"/>
      <c r="IP36" s="230"/>
      <c r="IQ36" s="230"/>
    </row>
    <row r="37" spans="1:252" s="73" customFormat="1">
      <c r="A37" s="424" t="s">
        <v>594</v>
      </c>
      <c r="C37" s="196">
        <v>17.829999999999998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0"/>
      <c r="EF37" s="230"/>
      <c r="EG37" s="230"/>
      <c r="EH37" s="230"/>
      <c r="EI37" s="230"/>
      <c r="EJ37" s="230"/>
      <c r="EK37" s="230"/>
      <c r="EL37" s="230"/>
      <c r="EM37" s="230"/>
      <c r="EN37" s="230"/>
      <c r="EO37" s="230"/>
      <c r="EP37" s="230"/>
      <c r="EQ37" s="230"/>
      <c r="ER37" s="230"/>
      <c r="ES37" s="230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0"/>
      <c r="FF37" s="230"/>
      <c r="FG37" s="230"/>
      <c r="FH37" s="230"/>
      <c r="FI37" s="230"/>
      <c r="FJ37" s="230"/>
      <c r="FK37" s="230"/>
      <c r="FL37" s="230"/>
      <c r="FM37" s="230"/>
      <c r="FN37" s="230"/>
      <c r="FO37" s="230"/>
      <c r="FP37" s="230"/>
      <c r="FQ37" s="230"/>
      <c r="FR37" s="230"/>
      <c r="FS37" s="230"/>
      <c r="FT37" s="230"/>
      <c r="FU37" s="230"/>
      <c r="FV37" s="230"/>
      <c r="FW37" s="230"/>
      <c r="FX37" s="230"/>
      <c r="FY37" s="230"/>
      <c r="FZ37" s="230"/>
      <c r="GA37" s="230"/>
      <c r="GB37" s="230"/>
      <c r="GC37" s="230"/>
      <c r="GD37" s="230"/>
      <c r="GE37" s="230"/>
      <c r="GF37" s="230"/>
      <c r="GG37" s="230"/>
      <c r="GH37" s="230"/>
      <c r="GI37" s="230"/>
      <c r="GJ37" s="230"/>
      <c r="GK37" s="230"/>
      <c r="GL37" s="230"/>
      <c r="GM37" s="230"/>
      <c r="GN37" s="230"/>
      <c r="GO37" s="230"/>
      <c r="GP37" s="230"/>
      <c r="GQ37" s="230"/>
      <c r="GR37" s="230"/>
      <c r="GS37" s="230"/>
      <c r="GT37" s="230"/>
      <c r="GU37" s="230"/>
      <c r="GV37" s="230"/>
      <c r="GW37" s="230"/>
      <c r="GX37" s="230"/>
      <c r="GY37" s="230"/>
      <c r="GZ37" s="230"/>
      <c r="HA37" s="230"/>
      <c r="HB37" s="230"/>
      <c r="HC37" s="230"/>
      <c r="HD37" s="230"/>
      <c r="HE37" s="230"/>
      <c r="HF37" s="230"/>
      <c r="HG37" s="230"/>
      <c r="HH37" s="230"/>
      <c r="HI37" s="230"/>
      <c r="HJ37" s="230"/>
      <c r="HK37" s="230"/>
      <c r="HL37" s="230"/>
      <c r="HM37" s="230"/>
      <c r="HN37" s="230"/>
      <c r="HO37" s="230"/>
      <c r="HP37" s="230"/>
      <c r="HQ37" s="230"/>
      <c r="HR37" s="230"/>
      <c r="HS37" s="230"/>
      <c r="HT37" s="230"/>
      <c r="HU37" s="230"/>
      <c r="HV37" s="230"/>
      <c r="HW37" s="230"/>
      <c r="HX37" s="230"/>
      <c r="HY37" s="230"/>
      <c r="HZ37" s="230"/>
      <c r="IA37" s="230"/>
      <c r="IB37" s="230"/>
      <c r="IC37" s="230"/>
      <c r="ID37" s="230"/>
      <c r="IE37" s="230"/>
      <c r="IF37" s="230"/>
      <c r="IG37" s="230"/>
      <c r="IH37" s="230"/>
      <c r="II37" s="230"/>
      <c r="IJ37" s="230"/>
      <c r="IK37" s="230"/>
      <c r="IL37" s="230"/>
      <c r="IM37" s="230"/>
      <c r="IN37" s="230"/>
      <c r="IO37" s="230"/>
      <c r="IP37" s="230"/>
      <c r="IQ37" s="230"/>
    </row>
    <row r="38" spans="1:252" s="73" customFormat="1">
      <c r="A38" s="432" t="s">
        <v>711</v>
      </c>
      <c r="C38" s="193">
        <v>57709.68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  <c r="HV38" s="230"/>
      <c r="HW38" s="230"/>
      <c r="HX38" s="230"/>
      <c r="HY38" s="230"/>
      <c r="HZ38" s="230"/>
      <c r="IA38" s="230"/>
      <c r="IB38" s="230"/>
      <c r="IC38" s="230"/>
      <c r="ID38" s="230"/>
      <c r="IE38" s="230"/>
      <c r="IF38" s="230"/>
      <c r="IG38" s="230"/>
      <c r="IH38" s="230"/>
      <c r="II38" s="230"/>
      <c r="IJ38" s="230"/>
      <c r="IK38" s="230"/>
      <c r="IL38" s="230"/>
      <c r="IM38" s="230"/>
      <c r="IN38" s="230"/>
      <c r="IO38" s="230"/>
      <c r="IP38" s="230"/>
      <c r="IQ38" s="230"/>
    </row>
    <row r="39" spans="1:252" s="73" customFormat="1">
      <c r="A39" s="422" t="s">
        <v>1123</v>
      </c>
      <c r="C39" s="193">
        <v>122173.32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  <c r="HV39" s="230"/>
      <c r="HW39" s="230"/>
      <c r="HX39" s="230"/>
      <c r="HY39" s="230"/>
      <c r="HZ39" s="230"/>
      <c r="IA39" s="230"/>
      <c r="IB39" s="230"/>
      <c r="IC39" s="230"/>
      <c r="ID39" s="230"/>
      <c r="IE39" s="230"/>
      <c r="IF39" s="230"/>
      <c r="IG39" s="230"/>
      <c r="IH39" s="230"/>
      <c r="II39" s="230"/>
      <c r="IJ39" s="230"/>
      <c r="IK39" s="230"/>
      <c r="IL39" s="230"/>
      <c r="IM39" s="230"/>
      <c r="IN39" s="230"/>
      <c r="IO39" s="230"/>
      <c r="IP39" s="230"/>
      <c r="IQ39" s="230"/>
    </row>
    <row r="40" spans="1:252" s="73" customFormat="1">
      <c r="A40" s="422" t="s">
        <v>596</v>
      </c>
      <c r="C40" s="193">
        <v>2299.9699999999998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0"/>
      <c r="GN40" s="230"/>
      <c r="GO40" s="230"/>
      <c r="GP40" s="230"/>
      <c r="GQ40" s="230"/>
      <c r="GR40" s="230"/>
      <c r="GS40" s="230"/>
      <c r="GT40" s="230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  <c r="IO40" s="230"/>
      <c r="IP40" s="230"/>
      <c r="IQ40" s="230"/>
    </row>
    <row r="41" spans="1:252" s="73" customFormat="1">
      <c r="A41" s="422" t="s">
        <v>1562</v>
      </c>
      <c r="C41" s="193">
        <v>9282.6299999999992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  <c r="IO41" s="230"/>
      <c r="IP41" s="230"/>
      <c r="IQ41" s="230"/>
    </row>
    <row r="42" spans="1:252" s="73" customFormat="1">
      <c r="A42" s="432" t="s">
        <v>798</v>
      </c>
      <c r="C42" s="193">
        <f>C38+C39+C40+C41-C43</f>
        <v>110089.76000000001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0"/>
      <c r="GN42" s="230"/>
      <c r="GO42" s="230"/>
      <c r="GP42" s="230"/>
      <c r="GQ42" s="230"/>
      <c r="GR42" s="230"/>
      <c r="GS42" s="230"/>
      <c r="GT42" s="230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0"/>
      <c r="IB42" s="230"/>
      <c r="IC42" s="230"/>
      <c r="ID42" s="230"/>
      <c r="IE42" s="230"/>
      <c r="IF42" s="230"/>
      <c r="IG42" s="230"/>
      <c r="IH42" s="230"/>
      <c r="II42" s="230"/>
      <c r="IJ42" s="230"/>
      <c r="IK42" s="230"/>
      <c r="IL42" s="230"/>
      <c r="IM42" s="230"/>
      <c r="IN42" s="230"/>
      <c r="IO42" s="230"/>
      <c r="IP42" s="230"/>
      <c r="IQ42" s="230"/>
    </row>
    <row r="43" spans="1:252" s="73" customFormat="1">
      <c r="A43" s="432" t="s">
        <v>1124</v>
      </c>
      <c r="C43" s="193">
        <v>81375.839999999997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230"/>
      <c r="FL43" s="230"/>
      <c r="FM43" s="230"/>
      <c r="FN43" s="230"/>
      <c r="FO43" s="230"/>
      <c r="FP43" s="230"/>
      <c r="FQ43" s="230"/>
      <c r="FR43" s="230"/>
      <c r="FS43" s="230"/>
      <c r="FT43" s="230"/>
      <c r="FU43" s="230"/>
      <c r="FV43" s="230"/>
      <c r="FW43" s="230"/>
      <c r="FX43" s="230"/>
      <c r="FY43" s="230"/>
      <c r="FZ43" s="230"/>
      <c r="GA43" s="230"/>
      <c r="GB43" s="230"/>
      <c r="GC43" s="230"/>
      <c r="GD43" s="230"/>
      <c r="GE43" s="230"/>
      <c r="GF43" s="230"/>
      <c r="GG43" s="230"/>
      <c r="GH43" s="230"/>
      <c r="GI43" s="230"/>
      <c r="GJ43" s="230"/>
      <c r="GK43" s="230"/>
      <c r="GL43" s="230"/>
      <c r="GM43" s="230"/>
      <c r="GN43" s="230"/>
      <c r="GO43" s="230"/>
      <c r="GP43" s="230"/>
      <c r="GQ43" s="230"/>
      <c r="GR43" s="230"/>
      <c r="GS43" s="230"/>
      <c r="GT43" s="230"/>
      <c r="GU43" s="230"/>
      <c r="GV43" s="230"/>
      <c r="GW43" s="230"/>
      <c r="GX43" s="230"/>
      <c r="GY43" s="230"/>
      <c r="GZ43" s="230"/>
      <c r="HA43" s="230"/>
      <c r="HB43" s="230"/>
      <c r="HC43" s="230"/>
      <c r="HD43" s="230"/>
      <c r="HE43" s="230"/>
      <c r="HF43" s="230"/>
      <c r="HG43" s="230"/>
      <c r="HH43" s="230"/>
      <c r="HI43" s="230"/>
      <c r="HJ43" s="230"/>
      <c r="HK43" s="230"/>
      <c r="HL43" s="230"/>
      <c r="HM43" s="230"/>
      <c r="HN43" s="230"/>
      <c r="HO43" s="230"/>
      <c r="HP43" s="230"/>
      <c r="HQ43" s="230"/>
      <c r="HR43" s="230"/>
      <c r="HS43" s="230"/>
      <c r="HT43" s="230"/>
      <c r="HU43" s="230"/>
      <c r="HV43" s="230"/>
      <c r="HW43" s="230"/>
      <c r="HX43" s="230"/>
      <c r="HY43" s="230"/>
      <c r="HZ43" s="230"/>
      <c r="IA43" s="230"/>
      <c r="IB43" s="230"/>
      <c r="IC43" s="230"/>
      <c r="ID43" s="230"/>
      <c r="IE43" s="230"/>
      <c r="IF43" s="230"/>
      <c r="IG43" s="230"/>
      <c r="IH43" s="230"/>
      <c r="II43" s="230"/>
      <c r="IJ43" s="230"/>
      <c r="IK43" s="230"/>
      <c r="IL43" s="230"/>
      <c r="IM43" s="230"/>
      <c r="IN43" s="230"/>
      <c r="IO43" s="230"/>
      <c r="IP43" s="230"/>
      <c r="IQ43" s="230"/>
    </row>
    <row r="44" spans="1:252" s="73" customFormat="1" ht="29.25" customHeight="1">
      <c r="A44" s="435" t="s">
        <v>1555</v>
      </c>
      <c r="C44" s="196">
        <f>C42</f>
        <v>110089.76000000001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0"/>
      <c r="GF44" s="230"/>
      <c r="GG44" s="230"/>
      <c r="GH44" s="230"/>
      <c r="GI44" s="230"/>
      <c r="GJ44" s="230"/>
      <c r="GK44" s="230"/>
      <c r="GL44" s="230"/>
      <c r="GM44" s="230"/>
      <c r="GN44" s="230"/>
      <c r="GO44" s="230"/>
      <c r="GP44" s="230"/>
      <c r="GQ44" s="230"/>
      <c r="GR44" s="230"/>
      <c r="GS44" s="230"/>
      <c r="GT44" s="230"/>
      <c r="GU44" s="230"/>
      <c r="GV44" s="230"/>
      <c r="GW44" s="230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0"/>
      <c r="HQ44" s="230"/>
      <c r="HR44" s="230"/>
      <c r="HS44" s="230"/>
      <c r="HT44" s="230"/>
      <c r="HU44" s="230"/>
      <c r="HV44" s="230"/>
      <c r="HW44" s="230"/>
      <c r="HX44" s="230"/>
      <c r="HY44" s="230"/>
      <c r="HZ44" s="230"/>
      <c r="IA44" s="230"/>
      <c r="IB44" s="230"/>
      <c r="IC44" s="230"/>
      <c r="ID44" s="230"/>
      <c r="IE44" s="230"/>
      <c r="IF44" s="230"/>
      <c r="IG44" s="230"/>
      <c r="IH44" s="230"/>
      <c r="II44" s="230"/>
      <c r="IJ44" s="230"/>
      <c r="IK44" s="230"/>
      <c r="IL44" s="230"/>
      <c r="IM44" s="230"/>
      <c r="IN44" s="230"/>
      <c r="IO44" s="230"/>
      <c r="IP44" s="230"/>
      <c r="IQ44" s="230"/>
    </row>
    <row r="45" spans="1:252" s="75" customFormat="1">
      <c r="A45" s="403"/>
      <c r="C45" s="213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197"/>
      <c r="FG45" s="197"/>
      <c r="FH45" s="197"/>
      <c r="FI45" s="197"/>
      <c r="FJ45" s="197"/>
      <c r="FK45" s="197"/>
      <c r="FL45" s="197"/>
      <c r="FM45" s="197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197"/>
      <c r="GD45" s="197"/>
      <c r="GE45" s="197"/>
      <c r="GF45" s="197"/>
      <c r="GG45" s="197"/>
      <c r="GH45" s="197"/>
      <c r="GI45" s="197"/>
      <c r="GJ45" s="197"/>
      <c r="GK45" s="197"/>
      <c r="GL45" s="197"/>
      <c r="GM45" s="197"/>
      <c r="GN45" s="197"/>
      <c r="GO45" s="197"/>
      <c r="GP45" s="197"/>
      <c r="GQ45" s="197"/>
      <c r="GR45" s="197"/>
      <c r="GS45" s="197"/>
      <c r="GT45" s="197"/>
      <c r="GU45" s="197"/>
      <c r="GV45" s="197"/>
      <c r="GW45" s="197"/>
      <c r="GX45" s="197"/>
      <c r="GY45" s="197"/>
      <c r="GZ45" s="197"/>
      <c r="HA45" s="197"/>
      <c r="HB45" s="197"/>
      <c r="HC45" s="197"/>
      <c r="HD45" s="197"/>
      <c r="HE45" s="197"/>
      <c r="HF45" s="197"/>
      <c r="HG45" s="197"/>
      <c r="HH45" s="197"/>
      <c r="HI45" s="197"/>
      <c r="HJ45" s="197"/>
      <c r="HK45" s="197"/>
      <c r="HL45" s="197"/>
      <c r="HM45" s="197"/>
      <c r="HN45" s="197"/>
      <c r="HO45" s="197"/>
      <c r="HP45" s="197"/>
      <c r="HQ45" s="197"/>
      <c r="HR45" s="197"/>
      <c r="HS45" s="197"/>
      <c r="HT45" s="197"/>
      <c r="HU45" s="197"/>
      <c r="HV45" s="197"/>
      <c r="HW45" s="197"/>
      <c r="HX45" s="197"/>
      <c r="HY45" s="197"/>
      <c r="HZ45" s="197"/>
      <c r="IA45" s="197"/>
      <c r="IB45" s="197"/>
      <c r="IC45" s="197"/>
      <c r="ID45" s="197"/>
      <c r="IE45" s="197"/>
      <c r="IF45" s="197"/>
      <c r="IG45" s="197"/>
      <c r="IH45" s="197"/>
      <c r="II45" s="197"/>
      <c r="IJ45" s="197"/>
      <c r="IK45" s="197"/>
      <c r="IL45" s="197"/>
      <c r="IM45" s="197"/>
      <c r="IN45" s="197"/>
      <c r="IO45" s="197"/>
      <c r="IP45" s="197"/>
      <c r="IQ45" s="197"/>
    </row>
    <row r="46" spans="1:252" s="73" customFormat="1">
      <c r="A46" s="431" t="s">
        <v>1130</v>
      </c>
      <c r="C46" s="198">
        <f>C48+C49+C50+C52+C53+C55+C59+C57+C58+C51+C56</f>
        <v>80746.655753938539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  <c r="IQ46" s="230"/>
    </row>
    <row r="47" spans="1:252" s="73" customFormat="1">
      <c r="A47" s="432" t="s">
        <v>599</v>
      </c>
      <c r="C47" s="193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  <c r="FS47" s="230"/>
      <c r="FT47" s="230"/>
      <c r="FU47" s="230"/>
      <c r="FV47" s="230"/>
      <c r="FW47" s="230"/>
      <c r="FX47" s="230"/>
      <c r="FY47" s="230"/>
      <c r="FZ47" s="230"/>
      <c r="GA47" s="230"/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  <c r="GM47" s="230"/>
      <c r="GN47" s="230"/>
      <c r="GO47" s="230"/>
      <c r="GP47" s="230"/>
      <c r="GQ47" s="230"/>
      <c r="GR47" s="230"/>
      <c r="GS47" s="230"/>
      <c r="GT47" s="230"/>
      <c r="GU47" s="230"/>
      <c r="GV47" s="230"/>
      <c r="GW47" s="230"/>
      <c r="GX47" s="230"/>
      <c r="GY47" s="230"/>
      <c r="GZ47" s="230"/>
      <c r="HA47" s="230"/>
      <c r="HB47" s="230"/>
      <c r="HC47" s="230"/>
      <c r="HD47" s="230"/>
      <c r="HE47" s="230"/>
      <c r="HF47" s="230"/>
      <c r="HG47" s="230"/>
      <c r="HH47" s="230"/>
      <c r="HI47" s="230"/>
      <c r="HJ47" s="230"/>
      <c r="HK47" s="230"/>
      <c r="HL47" s="230"/>
      <c r="HM47" s="230"/>
      <c r="HN47" s="230"/>
      <c r="HO47" s="230"/>
      <c r="HP47" s="230"/>
      <c r="HQ47" s="230"/>
      <c r="HR47" s="230"/>
      <c r="HS47" s="230"/>
      <c r="HT47" s="230"/>
      <c r="HU47" s="230"/>
      <c r="HV47" s="230"/>
      <c r="HW47" s="230"/>
      <c r="HX47" s="230"/>
      <c r="HY47" s="230"/>
      <c r="HZ47" s="230"/>
      <c r="IA47" s="230"/>
      <c r="IB47" s="230"/>
      <c r="IC47" s="230"/>
      <c r="ID47" s="230"/>
      <c r="IE47" s="230"/>
      <c r="IF47" s="230"/>
      <c r="IG47" s="230"/>
      <c r="IH47" s="230"/>
      <c r="II47" s="230"/>
      <c r="IJ47" s="230"/>
      <c r="IK47" s="230"/>
      <c r="IL47" s="230"/>
      <c r="IM47" s="230"/>
      <c r="IN47" s="230"/>
      <c r="IO47" s="230"/>
      <c r="IP47" s="230"/>
      <c r="IQ47" s="230"/>
    </row>
    <row r="48" spans="1:252" s="73" customFormat="1">
      <c r="A48" s="432" t="s">
        <v>521</v>
      </c>
      <c r="C48" s="194">
        <f>959300/45797.5*C36*1.7</f>
        <v>20333.180153938531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0"/>
      <c r="FF48" s="230"/>
      <c r="FG48" s="230"/>
      <c r="FH48" s="230"/>
      <c r="FI48" s="230"/>
      <c r="FJ48" s="230"/>
      <c r="FK48" s="230"/>
      <c r="FL48" s="230"/>
      <c r="FM48" s="230"/>
      <c r="FN48" s="230"/>
      <c r="FO48" s="230"/>
      <c r="FP48" s="230"/>
      <c r="FQ48" s="230"/>
      <c r="FR48" s="230"/>
      <c r="FS48" s="230"/>
      <c r="FT48" s="230"/>
      <c r="FU48" s="230"/>
      <c r="FV48" s="230"/>
      <c r="FW48" s="230"/>
      <c r="FX48" s="230"/>
      <c r="FY48" s="230"/>
      <c r="FZ48" s="230"/>
      <c r="GA48" s="230"/>
      <c r="GB48" s="230"/>
      <c r="GC48" s="230"/>
      <c r="GD48" s="230"/>
      <c r="GE48" s="230"/>
      <c r="GF48" s="230"/>
      <c r="GG48" s="230"/>
      <c r="GH48" s="230"/>
      <c r="GI48" s="230"/>
      <c r="GJ48" s="230"/>
      <c r="GK48" s="230"/>
      <c r="GL48" s="230"/>
      <c r="GM48" s="230"/>
      <c r="GN48" s="230"/>
      <c r="GO48" s="230"/>
      <c r="GP48" s="230"/>
      <c r="GQ48" s="230"/>
      <c r="GR48" s="230"/>
      <c r="GS48" s="230"/>
      <c r="GT48" s="230"/>
      <c r="GU48" s="230"/>
      <c r="GV48" s="230"/>
      <c r="GW48" s="230"/>
      <c r="GX48" s="230"/>
      <c r="GY48" s="230"/>
      <c r="GZ48" s="230"/>
      <c r="HA48" s="230"/>
      <c r="HB48" s="230"/>
      <c r="HC48" s="230"/>
      <c r="HD48" s="230"/>
      <c r="HE48" s="230"/>
      <c r="HF48" s="230"/>
      <c r="HG48" s="230"/>
      <c r="HH48" s="230"/>
      <c r="HI48" s="230"/>
      <c r="HJ48" s="230"/>
      <c r="HK48" s="230"/>
      <c r="HL48" s="230"/>
      <c r="HM48" s="230"/>
      <c r="HN48" s="230"/>
      <c r="HO48" s="230"/>
      <c r="HP48" s="230"/>
      <c r="HQ48" s="230"/>
      <c r="HR48" s="230"/>
      <c r="HS48" s="230"/>
      <c r="HT48" s="230"/>
      <c r="HU48" s="230"/>
      <c r="HV48" s="230"/>
      <c r="HW48" s="230"/>
      <c r="HX48" s="230"/>
      <c r="HY48" s="230"/>
      <c r="HZ48" s="230"/>
      <c r="IA48" s="230"/>
      <c r="IB48" s="230"/>
      <c r="IC48" s="230"/>
      <c r="ID48" s="230"/>
      <c r="IE48" s="230"/>
      <c r="IF48" s="230"/>
      <c r="IG48" s="230"/>
      <c r="IH48" s="230"/>
      <c r="II48" s="230"/>
      <c r="IJ48" s="230"/>
      <c r="IK48" s="230"/>
      <c r="IL48" s="230"/>
      <c r="IM48" s="230"/>
      <c r="IN48" s="230"/>
      <c r="IO48" s="230"/>
      <c r="IP48" s="230"/>
      <c r="IQ48" s="230"/>
    </row>
    <row r="49" spans="1:251" s="73" customFormat="1">
      <c r="A49" s="432" t="s">
        <v>520</v>
      </c>
      <c r="C49" s="194">
        <f>0.89*C36*12*1.7</f>
        <v>10367.25756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230"/>
      <c r="FG49" s="230"/>
      <c r="FH49" s="230"/>
      <c r="FI49" s="230"/>
      <c r="FJ49" s="230"/>
      <c r="FK49" s="230"/>
      <c r="FL49" s="230"/>
      <c r="FM49" s="230"/>
      <c r="FN49" s="230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0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  <c r="GM49" s="230"/>
      <c r="GN49" s="230"/>
      <c r="GO49" s="230"/>
      <c r="GP49" s="230"/>
      <c r="GQ49" s="230"/>
      <c r="GR49" s="230"/>
      <c r="GS49" s="230"/>
      <c r="GT49" s="230"/>
      <c r="GU49" s="230"/>
      <c r="GV49" s="230"/>
      <c r="GW49" s="230"/>
      <c r="GX49" s="230"/>
      <c r="GY49" s="230"/>
      <c r="GZ49" s="230"/>
      <c r="HA49" s="230"/>
      <c r="HB49" s="230"/>
      <c r="HC49" s="230"/>
      <c r="HD49" s="230"/>
      <c r="HE49" s="230"/>
      <c r="HF49" s="230"/>
      <c r="HG49" s="230"/>
      <c r="HH49" s="230"/>
      <c r="HI49" s="230"/>
      <c r="HJ49" s="230"/>
      <c r="HK49" s="230"/>
      <c r="HL49" s="230"/>
      <c r="HM49" s="230"/>
      <c r="HN49" s="230"/>
      <c r="HO49" s="230"/>
      <c r="HP49" s="230"/>
      <c r="HQ49" s="230"/>
      <c r="HR49" s="230"/>
      <c r="HS49" s="230"/>
      <c r="HT49" s="230"/>
      <c r="HU49" s="230"/>
      <c r="HV49" s="230"/>
      <c r="HW49" s="230"/>
      <c r="HX49" s="230"/>
      <c r="HY49" s="230"/>
      <c r="HZ49" s="230"/>
      <c r="IA49" s="230"/>
      <c r="IB49" s="230"/>
      <c r="IC49" s="230"/>
      <c r="ID49" s="230"/>
      <c r="IE49" s="230"/>
      <c r="IF49" s="230"/>
      <c r="IG49" s="230"/>
      <c r="IH49" s="230"/>
      <c r="II49" s="230"/>
      <c r="IJ49" s="230"/>
      <c r="IK49" s="230"/>
      <c r="IL49" s="230"/>
      <c r="IM49" s="230"/>
      <c r="IN49" s="230"/>
      <c r="IO49" s="230"/>
      <c r="IP49" s="230"/>
      <c r="IQ49" s="230"/>
    </row>
    <row r="50" spans="1:251" s="73" customFormat="1">
      <c r="A50" s="432" t="s">
        <v>987</v>
      </c>
      <c r="C50" s="194">
        <f>0.31*12*C36*1.7</f>
        <v>3611.0672399999994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230"/>
      <c r="FG50" s="230"/>
      <c r="FH50" s="230"/>
      <c r="FI50" s="230"/>
      <c r="FJ50" s="230"/>
      <c r="FK50" s="230"/>
      <c r="FL50" s="230"/>
      <c r="FM50" s="230"/>
      <c r="FN50" s="230"/>
      <c r="FO50" s="230"/>
      <c r="FP50" s="230"/>
      <c r="FQ50" s="230"/>
      <c r="FR50" s="230"/>
      <c r="FS50" s="230"/>
      <c r="FT50" s="230"/>
      <c r="FU50" s="230"/>
      <c r="FV50" s="230"/>
      <c r="FW50" s="230"/>
      <c r="FX50" s="230"/>
      <c r="FY50" s="230"/>
      <c r="FZ50" s="230"/>
      <c r="GA50" s="230"/>
      <c r="GB50" s="230"/>
      <c r="GC50" s="230"/>
      <c r="GD50" s="230"/>
      <c r="GE50" s="230"/>
      <c r="GF50" s="230"/>
      <c r="GG50" s="230"/>
      <c r="GH50" s="230"/>
      <c r="GI50" s="230"/>
      <c r="GJ50" s="230"/>
      <c r="GK50" s="230"/>
      <c r="GL50" s="230"/>
      <c r="GM50" s="230"/>
      <c r="GN50" s="230"/>
      <c r="GO50" s="230"/>
      <c r="GP50" s="230"/>
      <c r="GQ50" s="230"/>
      <c r="GR50" s="230"/>
      <c r="GS50" s="230"/>
      <c r="GT50" s="230"/>
      <c r="GU50" s="230"/>
      <c r="GV50" s="230"/>
      <c r="GW50" s="230"/>
      <c r="GX50" s="230"/>
      <c r="GY50" s="230"/>
      <c r="GZ50" s="230"/>
      <c r="HA50" s="230"/>
      <c r="HB50" s="230"/>
      <c r="HC50" s="230"/>
      <c r="HD50" s="230"/>
      <c r="HE50" s="230"/>
      <c r="HF50" s="230"/>
      <c r="HG50" s="230"/>
      <c r="HH50" s="230"/>
      <c r="HI50" s="230"/>
      <c r="HJ50" s="230"/>
      <c r="HK50" s="230"/>
      <c r="HL50" s="230"/>
      <c r="HM50" s="230"/>
      <c r="HN50" s="230"/>
      <c r="HO50" s="230"/>
      <c r="HP50" s="230"/>
      <c r="HQ50" s="230"/>
      <c r="HR50" s="230"/>
      <c r="HS50" s="230"/>
      <c r="HT50" s="230"/>
      <c r="HU50" s="230"/>
      <c r="HV50" s="230"/>
      <c r="HW50" s="230"/>
      <c r="HX50" s="230"/>
      <c r="HY50" s="230"/>
      <c r="HZ50" s="230"/>
      <c r="IA50" s="230"/>
      <c r="IB50" s="230"/>
      <c r="IC50" s="230"/>
      <c r="ID50" s="230"/>
      <c r="IE50" s="230"/>
      <c r="IF50" s="230"/>
      <c r="IG50" s="230"/>
      <c r="IH50" s="230"/>
      <c r="II50" s="230"/>
      <c r="IJ50" s="230"/>
      <c r="IK50" s="230"/>
      <c r="IL50" s="230"/>
      <c r="IM50" s="230"/>
      <c r="IN50" s="230"/>
      <c r="IO50" s="230"/>
      <c r="IP50" s="230"/>
      <c r="IQ50" s="230"/>
    </row>
    <row r="51" spans="1:251" s="73" customFormat="1">
      <c r="A51" s="432" t="s">
        <v>908</v>
      </c>
      <c r="C51" s="194">
        <f>1800*2*1.7</f>
        <v>6120</v>
      </c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230"/>
      <c r="FG51" s="230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0"/>
      <c r="GE51" s="230"/>
      <c r="GF51" s="230"/>
      <c r="GG51" s="230"/>
      <c r="GH51" s="230"/>
      <c r="GI51" s="230"/>
      <c r="GJ51" s="230"/>
      <c r="GK51" s="230"/>
      <c r="GL51" s="230"/>
      <c r="GM51" s="230"/>
      <c r="GN51" s="230"/>
      <c r="GO51" s="230"/>
      <c r="GP51" s="230"/>
      <c r="GQ51" s="230"/>
      <c r="GR51" s="230"/>
      <c r="GS51" s="230"/>
      <c r="GT51" s="230"/>
      <c r="GU51" s="230"/>
      <c r="GV51" s="230"/>
      <c r="GW51" s="230"/>
      <c r="GX51" s="230"/>
      <c r="GY51" s="230"/>
      <c r="GZ51" s="230"/>
      <c r="HA51" s="230"/>
      <c r="HB51" s="230"/>
      <c r="HC51" s="230"/>
      <c r="HD51" s="230"/>
      <c r="HE51" s="230"/>
      <c r="HF51" s="230"/>
      <c r="HG51" s="230"/>
      <c r="HH51" s="230"/>
      <c r="HI51" s="230"/>
      <c r="HJ51" s="230"/>
      <c r="HK51" s="230"/>
      <c r="HL51" s="230"/>
      <c r="HM51" s="230"/>
      <c r="HN51" s="230"/>
      <c r="HO51" s="230"/>
      <c r="HP51" s="230"/>
      <c r="HQ51" s="230"/>
      <c r="HR51" s="230"/>
      <c r="HS51" s="230"/>
      <c r="HT51" s="230"/>
      <c r="HU51" s="230"/>
      <c r="HV51" s="230"/>
      <c r="HW51" s="230"/>
      <c r="HX51" s="230"/>
      <c r="HY51" s="230"/>
      <c r="HZ51" s="230"/>
      <c r="IA51" s="230"/>
      <c r="IB51" s="230"/>
      <c r="IC51" s="230"/>
      <c r="ID51" s="230"/>
      <c r="IE51" s="230"/>
      <c r="IF51" s="230"/>
      <c r="IG51" s="230"/>
      <c r="IH51" s="230"/>
      <c r="II51" s="230"/>
      <c r="IJ51" s="230"/>
      <c r="IK51" s="230"/>
      <c r="IL51" s="230"/>
      <c r="IM51" s="230"/>
      <c r="IN51" s="230"/>
      <c r="IO51" s="230"/>
      <c r="IP51" s="230"/>
      <c r="IQ51" s="230"/>
    </row>
    <row r="52" spans="1:251" s="73" customFormat="1">
      <c r="A52" s="432" t="s">
        <v>600</v>
      </c>
      <c r="C52" s="194">
        <f>15*70*1.7</f>
        <v>1785</v>
      </c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230"/>
      <c r="FG52" s="230"/>
      <c r="FH52" s="230"/>
      <c r="FI52" s="230"/>
      <c r="FJ52" s="230"/>
      <c r="FK52" s="230"/>
      <c r="FL52" s="230"/>
      <c r="FM52" s="230"/>
      <c r="FN52" s="230"/>
      <c r="FO52" s="230"/>
      <c r="FP52" s="230"/>
      <c r="FQ52" s="230"/>
      <c r="FR52" s="230"/>
      <c r="FS52" s="230"/>
      <c r="FT52" s="230"/>
      <c r="FU52" s="230"/>
      <c r="FV52" s="230"/>
      <c r="FW52" s="230"/>
      <c r="FX52" s="230"/>
      <c r="FY52" s="230"/>
      <c r="FZ52" s="230"/>
      <c r="GA52" s="230"/>
      <c r="GB52" s="230"/>
      <c r="GC52" s="230"/>
      <c r="GD52" s="230"/>
      <c r="GE52" s="230"/>
      <c r="GF52" s="230"/>
      <c r="GG52" s="230"/>
      <c r="GH52" s="230"/>
      <c r="GI52" s="230"/>
      <c r="GJ52" s="230"/>
      <c r="GK52" s="230"/>
      <c r="GL52" s="230"/>
      <c r="GM52" s="230"/>
      <c r="GN52" s="230"/>
      <c r="GO52" s="230"/>
      <c r="GP52" s="230"/>
      <c r="GQ52" s="230"/>
      <c r="GR52" s="230"/>
      <c r="GS52" s="230"/>
      <c r="GT52" s="230"/>
      <c r="GU52" s="230"/>
      <c r="GV52" s="230"/>
      <c r="GW52" s="230"/>
      <c r="GX52" s="230"/>
      <c r="GY52" s="230"/>
      <c r="GZ52" s="230"/>
      <c r="HA52" s="230"/>
      <c r="HB52" s="230"/>
      <c r="HC52" s="230"/>
      <c r="HD52" s="230"/>
      <c r="HE52" s="230"/>
      <c r="HF52" s="230"/>
      <c r="HG52" s="230"/>
      <c r="HH52" s="230"/>
      <c r="HI52" s="230"/>
      <c r="HJ52" s="230"/>
      <c r="HK52" s="230"/>
      <c r="HL52" s="230"/>
      <c r="HM52" s="230"/>
      <c r="HN52" s="230"/>
      <c r="HO52" s="230"/>
      <c r="HP52" s="230"/>
      <c r="HQ52" s="230"/>
      <c r="HR52" s="230"/>
      <c r="HS52" s="230"/>
      <c r="HT52" s="230"/>
      <c r="HU52" s="230"/>
      <c r="HV52" s="230"/>
      <c r="HW52" s="230"/>
      <c r="HX52" s="230"/>
      <c r="HY52" s="230"/>
      <c r="HZ52" s="230"/>
      <c r="IA52" s="230"/>
      <c r="IB52" s="230"/>
      <c r="IC52" s="230"/>
      <c r="ID52" s="230"/>
      <c r="IE52" s="230"/>
      <c r="IF52" s="230"/>
      <c r="IG52" s="230"/>
      <c r="IH52" s="230"/>
      <c r="II52" s="230"/>
      <c r="IJ52" s="230"/>
      <c r="IK52" s="230"/>
      <c r="IL52" s="230"/>
      <c r="IM52" s="230"/>
      <c r="IN52" s="230"/>
      <c r="IO52" s="230"/>
      <c r="IP52" s="230"/>
      <c r="IQ52" s="230"/>
    </row>
    <row r="53" spans="1:251" s="73" customFormat="1">
      <c r="A53" s="432" t="s">
        <v>611</v>
      </c>
      <c r="C53" s="194">
        <f>0.01*9100*12*1.302*1.7</f>
        <v>2417.0328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230"/>
      <c r="FJ53" s="230"/>
      <c r="FK53" s="230"/>
      <c r="FL53" s="230"/>
      <c r="FM53" s="230"/>
      <c r="FN53" s="230"/>
      <c r="FO53" s="230"/>
      <c r="FP53" s="230"/>
      <c r="FQ53" s="230"/>
      <c r="FR53" s="230"/>
      <c r="FS53" s="230"/>
      <c r="FT53" s="230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  <c r="GJ53" s="230"/>
      <c r="GK53" s="230"/>
      <c r="GL53" s="230"/>
      <c r="GM53" s="230"/>
      <c r="GN53" s="230"/>
      <c r="GO53" s="230"/>
      <c r="GP53" s="230"/>
      <c r="GQ53" s="230"/>
      <c r="GR53" s="230"/>
      <c r="GS53" s="230"/>
      <c r="GT53" s="230"/>
      <c r="GU53" s="230"/>
      <c r="GV53" s="230"/>
      <c r="GW53" s="230"/>
      <c r="GX53" s="230"/>
      <c r="GY53" s="230"/>
      <c r="GZ53" s="230"/>
      <c r="HA53" s="230"/>
      <c r="HB53" s="230"/>
      <c r="HC53" s="230"/>
      <c r="HD53" s="230"/>
      <c r="HE53" s="230"/>
      <c r="HF53" s="230"/>
      <c r="HG53" s="230"/>
      <c r="HH53" s="230"/>
      <c r="HI53" s="230"/>
      <c r="HJ53" s="230"/>
      <c r="HK53" s="230"/>
      <c r="HL53" s="230"/>
      <c r="HM53" s="230"/>
      <c r="HN53" s="230"/>
      <c r="HO53" s="230"/>
      <c r="HP53" s="230"/>
      <c r="HQ53" s="230"/>
      <c r="HR53" s="230"/>
      <c r="HS53" s="230"/>
      <c r="HT53" s="230"/>
      <c r="HU53" s="230"/>
      <c r="HV53" s="230"/>
      <c r="HW53" s="230"/>
      <c r="HX53" s="230"/>
      <c r="HY53" s="230"/>
      <c r="HZ53" s="230"/>
      <c r="IA53" s="230"/>
      <c r="IB53" s="230"/>
      <c r="IC53" s="230"/>
      <c r="ID53" s="230"/>
      <c r="IE53" s="230"/>
      <c r="IF53" s="230"/>
      <c r="IG53" s="230"/>
      <c r="IH53" s="230"/>
      <c r="II53" s="230"/>
      <c r="IJ53" s="230"/>
      <c r="IK53" s="230"/>
      <c r="IL53" s="230"/>
      <c r="IM53" s="230"/>
      <c r="IN53" s="230"/>
      <c r="IO53" s="230"/>
      <c r="IP53" s="230"/>
      <c r="IQ53" s="230"/>
    </row>
    <row r="54" spans="1:251" s="73" customFormat="1">
      <c r="A54" s="432" t="s">
        <v>602</v>
      </c>
      <c r="C54" s="194">
        <f>C32</f>
        <v>67.5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  <c r="FH54" s="230"/>
      <c r="FI54" s="230"/>
      <c r="FJ54" s="230"/>
      <c r="FK54" s="230"/>
      <c r="FL54" s="230"/>
      <c r="FM54" s="230"/>
      <c r="FN54" s="230"/>
      <c r="FO54" s="230"/>
      <c r="FP54" s="230"/>
      <c r="FQ54" s="230"/>
      <c r="FR54" s="230"/>
      <c r="FS54" s="230"/>
      <c r="FT54" s="230"/>
      <c r="FU54" s="230"/>
      <c r="FV54" s="230"/>
      <c r="FW54" s="230"/>
      <c r="FX54" s="230"/>
      <c r="FY54" s="230"/>
      <c r="FZ54" s="230"/>
      <c r="GA54" s="230"/>
      <c r="GB54" s="230"/>
      <c r="GC54" s="230"/>
      <c r="GD54" s="230"/>
      <c r="GE54" s="230"/>
      <c r="GF54" s="230"/>
      <c r="GG54" s="230"/>
      <c r="GH54" s="230"/>
      <c r="GI54" s="230"/>
      <c r="GJ54" s="230"/>
      <c r="GK54" s="230"/>
      <c r="GL54" s="230"/>
      <c r="GM54" s="230"/>
      <c r="GN54" s="230"/>
      <c r="GO54" s="230"/>
      <c r="GP54" s="230"/>
      <c r="GQ54" s="230"/>
      <c r="GR54" s="230"/>
      <c r="GS54" s="230"/>
      <c r="GT54" s="230"/>
      <c r="GU54" s="230"/>
      <c r="GV54" s="230"/>
      <c r="GW54" s="230"/>
      <c r="GX54" s="230"/>
      <c r="GY54" s="230"/>
      <c r="GZ54" s="230"/>
      <c r="HA54" s="230"/>
      <c r="HB54" s="230"/>
      <c r="HC54" s="230"/>
      <c r="HD54" s="230"/>
      <c r="HE54" s="230"/>
      <c r="HF54" s="230"/>
      <c r="HG54" s="230"/>
      <c r="HH54" s="230"/>
      <c r="HI54" s="230"/>
      <c r="HJ54" s="230"/>
      <c r="HK54" s="230"/>
      <c r="HL54" s="230"/>
      <c r="HM54" s="230"/>
      <c r="HN54" s="230"/>
      <c r="HO54" s="230"/>
      <c r="HP54" s="230"/>
      <c r="HQ54" s="230"/>
      <c r="HR54" s="230"/>
      <c r="HS54" s="230"/>
      <c r="HT54" s="230"/>
      <c r="HU54" s="230"/>
      <c r="HV54" s="230"/>
      <c r="HW54" s="230"/>
      <c r="HX54" s="230"/>
      <c r="HY54" s="230"/>
      <c r="HZ54" s="230"/>
      <c r="IA54" s="230"/>
      <c r="IB54" s="230"/>
      <c r="IC54" s="230"/>
      <c r="ID54" s="230"/>
      <c r="IE54" s="230"/>
      <c r="IF54" s="230"/>
      <c r="IG54" s="230"/>
      <c r="IH54" s="230"/>
      <c r="II54" s="230"/>
      <c r="IJ54" s="230"/>
      <c r="IK54" s="230"/>
      <c r="IL54" s="230"/>
      <c r="IM54" s="230"/>
      <c r="IN54" s="230"/>
      <c r="IO54" s="230"/>
      <c r="IP54" s="230"/>
      <c r="IQ54" s="230"/>
    </row>
    <row r="55" spans="1:251" s="73" customFormat="1">
      <c r="A55" s="432" t="s">
        <v>603</v>
      </c>
      <c r="C55" s="194">
        <f>C54*110*1.302*1.7</f>
        <v>16434.494999999999</v>
      </c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0"/>
      <c r="FF55" s="230"/>
      <c r="FG55" s="230"/>
      <c r="FH55" s="230"/>
      <c r="FI55" s="230"/>
      <c r="FJ55" s="230"/>
      <c r="FK55" s="230"/>
      <c r="FL55" s="230"/>
      <c r="FM55" s="230"/>
      <c r="FN55" s="230"/>
      <c r="FO55" s="230"/>
      <c r="FP55" s="230"/>
      <c r="FQ55" s="230"/>
      <c r="FR55" s="230"/>
      <c r="FS55" s="230"/>
      <c r="FT55" s="230"/>
      <c r="FU55" s="230"/>
      <c r="FV55" s="230"/>
      <c r="FW55" s="230"/>
      <c r="FX55" s="230"/>
      <c r="FY55" s="230"/>
      <c r="FZ55" s="230"/>
      <c r="GA55" s="230"/>
      <c r="GB55" s="230"/>
      <c r="GC55" s="230"/>
      <c r="GD55" s="230"/>
      <c r="GE55" s="230"/>
      <c r="GF55" s="230"/>
      <c r="GG55" s="230"/>
      <c r="GH55" s="230"/>
      <c r="GI55" s="230"/>
      <c r="GJ55" s="230"/>
      <c r="GK55" s="230"/>
      <c r="GL55" s="230"/>
      <c r="GM55" s="230"/>
      <c r="GN55" s="230"/>
      <c r="GO55" s="230"/>
      <c r="GP55" s="230"/>
      <c r="GQ55" s="230"/>
      <c r="GR55" s="230"/>
      <c r="GS55" s="230"/>
      <c r="GT55" s="230"/>
      <c r="GU55" s="230"/>
      <c r="GV55" s="230"/>
      <c r="GW55" s="230"/>
      <c r="GX55" s="230"/>
      <c r="GY55" s="230"/>
      <c r="GZ55" s="230"/>
      <c r="HA55" s="230"/>
      <c r="HB55" s="230"/>
      <c r="HC55" s="230"/>
      <c r="HD55" s="230"/>
      <c r="HE55" s="230"/>
      <c r="HF55" s="230"/>
      <c r="HG55" s="230"/>
      <c r="HH55" s="230"/>
      <c r="HI55" s="230"/>
      <c r="HJ55" s="230"/>
      <c r="HK55" s="230"/>
      <c r="HL55" s="230"/>
      <c r="HM55" s="230"/>
      <c r="HN55" s="230"/>
      <c r="HO55" s="230"/>
      <c r="HP55" s="230"/>
      <c r="HQ55" s="230"/>
      <c r="HR55" s="230"/>
      <c r="HS55" s="230"/>
      <c r="HT55" s="230"/>
      <c r="HU55" s="230"/>
      <c r="HV55" s="230"/>
      <c r="HW55" s="230"/>
      <c r="HX55" s="230"/>
      <c r="HY55" s="230"/>
      <c r="HZ55" s="230"/>
      <c r="IA55" s="230"/>
      <c r="IB55" s="230"/>
      <c r="IC55" s="230"/>
      <c r="ID55" s="230"/>
      <c r="IE55" s="230"/>
      <c r="IF55" s="230"/>
      <c r="IG55" s="230"/>
      <c r="IH55" s="230"/>
      <c r="II55" s="230"/>
      <c r="IJ55" s="230"/>
      <c r="IK55" s="230"/>
      <c r="IL55" s="230"/>
      <c r="IM55" s="230"/>
      <c r="IN55" s="230"/>
      <c r="IO55" s="230"/>
      <c r="IP55" s="230"/>
      <c r="IQ55" s="230"/>
    </row>
    <row r="56" spans="1:251" s="73" customFormat="1">
      <c r="A56" s="432" t="s">
        <v>1586</v>
      </c>
      <c r="C56" s="194">
        <f>C41</f>
        <v>9282.6299999999992</v>
      </c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0"/>
      <c r="DX56" s="230"/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230"/>
      <c r="EZ56" s="230"/>
      <c r="FA56" s="230"/>
      <c r="FB56" s="230"/>
      <c r="FC56" s="230"/>
      <c r="FD56" s="230"/>
      <c r="FE56" s="230"/>
      <c r="FF56" s="230"/>
      <c r="FG56" s="230"/>
      <c r="FH56" s="230"/>
      <c r="FI56" s="230"/>
      <c r="FJ56" s="230"/>
      <c r="FK56" s="230"/>
      <c r="FL56" s="230"/>
      <c r="FM56" s="230"/>
      <c r="FN56" s="230"/>
      <c r="FO56" s="230"/>
      <c r="FP56" s="230"/>
      <c r="FQ56" s="230"/>
      <c r="FR56" s="230"/>
      <c r="FS56" s="230"/>
      <c r="FT56" s="230"/>
      <c r="FU56" s="230"/>
      <c r="FV56" s="230"/>
      <c r="FW56" s="230"/>
      <c r="FX56" s="230"/>
      <c r="FY56" s="230"/>
      <c r="FZ56" s="230"/>
      <c r="GA56" s="230"/>
      <c r="GB56" s="230"/>
      <c r="GC56" s="230"/>
      <c r="GD56" s="230"/>
      <c r="GE56" s="230"/>
      <c r="GF56" s="230"/>
      <c r="GG56" s="230"/>
      <c r="GH56" s="230"/>
      <c r="GI56" s="230"/>
      <c r="GJ56" s="230"/>
      <c r="GK56" s="230"/>
      <c r="GL56" s="230"/>
      <c r="GM56" s="230"/>
      <c r="GN56" s="230"/>
      <c r="GO56" s="230"/>
      <c r="GP56" s="230"/>
      <c r="GQ56" s="230"/>
      <c r="GR56" s="230"/>
      <c r="GS56" s="230"/>
      <c r="GT56" s="230"/>
      <c r="GU56" s="230"/>
      <c r="GV56" s="230"/>
      <c r="GW56" s="230"/>
      <c r="GX56" s="230"/>
      <c r="GY56" s="230"/>
      <c r="GZ56" s="230"/>
      <c r="HA56" s="230"/>
      <c r="HB56" s="230"/>
      <c r="HC56" s="230"/>
      <c r="HD56" s="230"/>
      <c r="HE56" s="230"/>
      <c r="HF56" s="230"/>
      <c r="HG56" s="230"/>
      <c r="HH56" s="230"/>
      <c r="HI56" s="230"/>
      <c r="HJ56" s="230"/>
      <c r="HK56" s="230"/>
      <c r="HL56" s="230"/>
      <c r="HM56" s="230"/>
      <c r="HN56" s="230"/>
      <c r="HO56" s="230"/>
      <c r="HP56" s="230"/>
      <c r="HQ56" s="230"/>
      <c r="HR56" s="230"/>
      <c r="HS56" s="230"/>
      <c r="HT56" s="230"/>
      <c r="HU56" s="230"/>
      <c r="HV56" s="230"/>
      <c r="HW56" s="230"/>
      <c r="HX56" s="230"/>
      <c r="HY56" s="230"/>
      <c r="HZ56" s="230"/>
      <c r="IA56" s="230"/>
      <c r="IB56" s="230"/>
      <c r="IC56" s="230"/>
      <c r="ID56" s="230"/>
      <c r="IE56" s="230"/>
      <c r="IF56" s="230"/>
      <c r="IG56" s="230"/>
      <c r="IH56" s="230"/>
      <c r="II56" s="230"/>
      <c r="IJ56" s="230"/>
      <c r="IK56" s="230"/>
      <c r="IL56" s="230"/>
      <c r="IM56" s="230"/>
      <c r="IN56" s="230"/>
      <c r="IO56" s="230"/>
      <c r="IP56" s="230"/>
      <c r="IQ56" s="230"/>
    </row>
    <row r="57" spans="1:251" s="73" customFormat="1">
      <c r="A57" s="432" t="s">
        <v>1127</v>
      </c>
      <c r="C57" s="194">
        <f>5190.39*1.7</f>
        <v>8823.6630000000005</v>
      </c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0"/>
      <c r="EM57" s="230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230"/>
      <c r="EZ57" s="230"/>
      <c r="FA57" s="230"/>
      <c r="FB57" s="230"/>
      <c r="FC57" s="230"/>
      <c r="FD57" s="230"/>
      <c r="FE57" s="230"/>
      <c r="FF57" s="230"/>
      <c r="FG57" s="230"/>
      <c r="FH57" s="230"/>
      <c r="FI57" s="230"/>
      <c r="FJ57" s="230"/>
      <c r="FK57" s="230"/>
      <c r="FL57" s="230"/>
      <c r="FM57" s="230"/>
      <c r="FN57" s="230"/>
      <c r="FO57" s="230"/>
      <c r="FP57" s="230"/>
      <c r="FQ57" s="230"/>
      <c r="FR57" s="230"/>
      <c r="FS57" s="230"/>
      <c r="FT57" s="230"/>
      <c r="FU57" s="230"/>
      <c r="FV57" s="230"/>
      <c r="FW57" s="230"/>
      <c r="FX57" s="230"/>
      <c r="FY57" s="230"/>
      <c r="FZ57" s="230"/>
      <c r="GA57" s="230"/>
      <c r="GB57" s="230"/>
      <c r="GC57" s="230"/>
      <c r="GD57" s="230"/>
      <c r="GE57" s="230"/>
      <c r="GF57" s="230"/>
      <c r="GG57" s="230"/>
      <c r="GH57" s="230"/>
      <c r="GI57" s="230"/>
      <c r="GJ57" s="230"/>
      <c r="GK57" s="230"/>
      <c r="GL57" s="230"/>
      <c r="GM57" s="230"/>
      <c r="GN57" s="230"/>
      <c r="GO57" s="230"/>
      <c r="GP57" s="230"/>
      <c r="GQ57" s="230"/>
      <c r="GR57" s="230"/>
      <c r="GS57" s="230"/>
      <c r="GT57" s="230"/>
      <c r="GU57" s="230"/>
      <c r="GV57" s="230"/>
      <c r="GW57" s="230"/>
      <c r="GX57" s="230"/>
      <c r="GY57" s="230"/>
      <c r="GZ57" s="230"/>
      <c r="HA57" s="230"/>
      <c r="HB57" s="230"/>
      <c r="HC57" s="230"/>
      <c r="HD57" s="230"/>
      <c r="HE57" s="230"/>
      <c r="HF57" s="230"/>
      <c r="HG57" s="230"/>
      <c r="HH57" s="230"/>
      <c r="HI57" s="230"/>
      <c r="HJ57" s="230"/>
      <c r="HK57" s="230"/>
      <c r="HL57" s="230"/>
      <c r="HM57" s="230"/>
      <c r="HN57" s="230"/>
      <c r="HO57" s="230"/>
      <c r="HP57" s="230"/>
      <c r="HQ57" s="230"/>
      <c r="HR57" s="230"/>
      <c r="HS57" s="230"/>
      <c r="HT57" s="230"/>
      <c r="HU57" s="230"/>
      <c r="HV57" s="230"/>
      <c r="HW57" s="230"/>
      <c r="HX57" s="230"/>
      <c r="HY57" s="230"/>
      <c r="HZ57" s="230"/>
      <c r="IA57" s="230"/>
      <c r="IB57" s="230"/>
      <c r="IC57" s="230"/>
      <c r="ID57" s="230"/>
      <c r="IE57" s="230"/>
      <c r="IF57" s="230"/>
      <c r="IG57" s="230"/>
      <c r="IH57" s="230"/>
      <c r="II57" s="230"/>
      <c r="IJ57" s="230"/>
      <c r="IK57" s="230"/>
      <c r="IL57" s="230"/>
      <c r="IM57" s="230"/>
      <c r="IN57" s="230"/>
      <c r="IO57" s="230"/>
      <c r="IP57" s="230"/>
      <c r="IQ57" s="230"/>
    </row>
    <row r="58" spans="1:251" s="73" customFormat="1">
      <c r="A58" s="432" t="s">
        <v>1128</v>
      </c>
      <c r="C58" s="194">
        <v>0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0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0"/>
      <c r="ET58" s="230"/>
      <c r="EU58" s="230"/>
      <c r="EV58" s="230"/>
      <c r="EW58" s="230"/>
      <c r="EX58" s="230"/>
      <c r="EY58" s="230"/>
      <c r="EZ58" s="230"/>
      <c r="FA58" s="230"/>
      <c r="FB58" s="230"/>
      <c r="FC58" s="230"/>
      <c r="FD58" s="230"/>
      <c r="FE58" s="230"/>
      <c r="FF58" s="230"/>
      <c r="FG58" s="230"/>
      <c r="FH58" s="230"/>
      <c r="FI58" s="230"/>
      <c r="FJ58" s="230"/>
      <c r="FK58" s="230"/>
      <c r="FL58" s="230"/>
      <c r="FM58" s="230"/>
      <c r="FN58" s="230"/>
      <c r="FO58" s="230"/>
      <c r="FP58" s="230"/>
      <c r="FQ58" s="230"/>
      <c r="FR58" s="230"/>
      <c r="FS58" s="230"/>
      <c r="FT58" s="230"/>
      <c r="FU58" s="230"/>
      <c r="FV58" s="230"/>
      <c r="FW58" s="230"/>
      <c r="FX58" s="230"/>
      <c r="FY58" s="230"/>
      <c r="FZ58" s="230"/>
      <c r="GA58" s="230"/>
      <c r="GB58" s="230"/>
      <c r="GC58" s="230"/>
      <c r="GD58" s="230"/>
      <c r="GE58" s="230"/>
      <c r="GF58" s="230"/>
      <c r="GG58" s="230"/>
      <c r="GH58" s="230"/>
      <c r="GI58" s="230"/>
      <c r="GJ58" s="230"/>
      <c r="GK58" s="230"/>
      <c r="GL58" s="230"/>
      <c r="GM58" s="230"/>
      <c r="GN58" s="230"/>
      <c r="GO58" s="230"/>
      <c r="GP58" s="230"/>
      <c r="GQ58" s="230"/>
      <c r="GR58" s="230"/>
      <c r="GS58" s="230"/>
      <c r="GT58" s="230"/>
      <c r="GU58" s="230"/>
      <c r="GV58" s="230"/>
      <c r="GW58" s="230"/>
      <c r="GX58" s="230"/>
      <c r="GY58" s="230"/>
      <c r="GZ58" s="230"/>
      <c r="HA58" s="230"/>
      <c r="HB58" s="230"/>
      <c r="HC58" s="230"/>
      <c r="HD58" s="230"/>
      <c r="HE58" s="230"/>
      <c r="HF58" s="230"/>
      <c r="HG58" s="230"/>
      <c r="HH58" s="230"/>
      <c r="HI58" s="230"/>
      <c r="HJ58" s="230"/>
      <c r="HK58" s="230"/>
      <c r="HL58" s="230"/>
      <c r="HM58" s="230"/>
      <c r="HN58" s="230"/>
      <c r="HO58" s="230"/>
      <c r="HP58" s="230"/>
      <c r="HQ58" s="230"/>
      <c r="HR58" s="230"/>
      <c r="HS58" s="230"/>
      <c r="HT58" s="230"/>
      <c r="HU58" s="230"/>
      <c r="HV58" s="230"/>
      <c r="HW58" s="230"/>
      <c r="HX58" s="230"/>
      <c r="HY58" s="230"/>
      <c r="HZ58" s="230"/>
      <c r="IA58" s="230"/>
      <c r="IB58" s="230"/>
      <c r="IC58" s="230"/>
      <c r="ID58" s="230"/>
      <c r="IE58" s="230"/>
      <c r="IF58" s="230"/>
      <c r="IG58" s="230"/>
      <c r="IH58" s="230"/>
      <c r="II58" s="230"/>
      <c r="IJ58" s="230"/>
      <c r="IK58" s="230"/>
      <c r="IL58" s="230"/>
      <c r="IM58" s="230"/>
      <c r="IN58" s="230"/>
      <c r="IO58" s="230"/>
      <c r="IP58" s="230"/>
      <c r="IQ58" s="230"/>
    </row>
    <row r="59" spans="1:251" s="73" customFormat="1">
      <c r="A59" s="432" t="s">
        <v>724</v>
      </c>
      <c r="C59" s="194">
        <f>924.9*1.7</f>
        <v>1572.33</v>
      </c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  <c r="DT59" s="230"/>
      <c r="DU59" s="230"/>
      <c r="DV59" s="230"/>
      <c r="DW59" s="230"/>
      <c r="DX59" s="230"/>
      <c r="DY59" s="230"/>
      <c r="DZ59" s="230"/>
      <c r="EA59" s="230"/>
      <c r="EB59" s="230"/>
      <c r="EC59" s="230"/>
      <c r="ED59" s="230"/>
      <c r="EE59" s="230"/>
      <c r="EF59" s="230"/>
      <c r="EG59" s="230"/>
      <c r="EH59" s="230"/>
      <c r="EI59" s="230"/>
      <c r="EJ59" s="230"/>
      <c r="EK59" s="230"/>
      <c r="EL59" s="230"/>
      <c r="EM59" s="230"/>
      <c r="EN59" s="230"/>
      <c r="EO59" s="230"/>
      <c r="EP59" s="230"/>
      <c r="EQ59" s="230"/>
      <c r="ER59" s="230"/>
      <c r="ES59" s="230"/>
      <c r="ET59" s="230"/>
      <c r="EU59" s="230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230"/>
      <c r="FO59" s="230"/>
      <c r="FP59" s="230"/>
      <c r="FQ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0"/>
      <c r="GD59" s="230"/>
      <c r="GE59" s="230"/>
      <c r="GF59" s="230"/>
      <c r="GG59" s="230"/>
      <c r="GH59" s="230"/>
      <c r="GI59" s="230"/>
      <c r="GJ59" s="230"/>
      <c r="GK59" s="230"/>
      <c r="GL59" s="230"/>
      <c r="GM59" s="230"/>
      <c r="GN59" s="230"/>
      <c r="GO59" s="230"/>
      <c r="GP59" s="230"/>
      <c r="GQ59" s="230"/>
      <c r="GR59" s="230"/>
      <c r="GS59" s="230"/>
      <c r="GT59" s="230"/>
      <c r="GU59" s="230"/>
      <c r="GV59" s="230"/>
      <c r="GW59" s="230"/>
      <c r="GX59" s="230"/>
      <c r="GY59" s="230"/>
      <c r="GZ59" s="230"/>
      <c r="HA59" s="230"/>
      <c r="HB59" s="230"/>
      <c r="HC59" s="230"/>
      <c r="HD59" s="230"/>
      <c r="HE59" s="230"/>
      <c r="HF59" s="230"/>
      <c r="HG59" s="230"/>
      <c r="HH59" s="230"/>
      <c r="HI59" s="230"/>
      <c r="HJ59" s="230"/>
      <c r="HK59" s="230"/>
      <c r="HL59" s="230"/>
      <c r="HM59" s="230"/>
      <c r="HN59" s="230"/>
      <c r="HO59" s="230"/>
      <c r="HP59" s="230"/>
      <c r="HQ59" s="230"/>
      <c r="HR59" s="230"/>
      <c r="HS59" s="230"/>
      <c r="HT59" s="230"/>
      <c r="HU59" s="230"/>
      <c r="HV59" s="230"/>
      <c r="HW59" s="230"/>
      <c r="HX59" s="230"/>
      <c r="HY59" s="230"/>
      <c r="HZ59" s="230"/>
      <c r="IA59" s="230"/>
      <c r="IB59" s="230"/>
      <c r="IC59" s="230"/>
      <c r="ID59" s="230"/>
      <c r="IE59" s="230"/>
      <c r="IF59" s="230"/>
      <c r="IG59" s="230"/>
      <c r="IH59" s="230"/>
      <c r="II59" s="230"/>
      <c r="IJ59" s="230"/>
      <c r="IK59" s="230"/>
      <c r="IL59" s="230"/>
      <c r="IM59" s="230"/>
      <c r="IN59" s="230"/>
      <c r="IO59" s="230"/>
      <c r="IP59" s="230"/>
      <c r="IQ59" s="230"/>
    </row>
    <row r="60" spans="1:251" s="73" customFormat="1">
      <c r="A60" s="432" t="s">
        <v>1129</v>
      </c>
      <c r="C60" s="194">
        <v>7934.89</v>
      </c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  <c r="FF60" s="230"/>
      <c r="FG60" s="230"/>
      <c r="FH60" s="230"/>
      <c r="FI60" s="230"/>
      <c r="FJ60" s="230"/>
      <c r="FK60" s="230"/>
      <c r="FL60" s="230"/>
      <c r="FM60" s="230"/>
      <c r="FN60" s="230"/>
      <c r="FO60" s="230"/>
      <c r="FP60" s="230"/>
      <c r="FQ60" s="230"/>
      <c r="FR60" s="230"/>
      <c r="FS60" s="230"/>
      <c r="FT60" s="230"/>
      <c r="FU60" s="230"/>
      <c r="FV60" s="230"/>
      <c r="FW60" s="230"/>
      <c r="FX60" s="230"/>
      <c r="FY60" s="230"/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230"/>
      <c r="GK60" s="230"/>
      <c r="GL60" s="230"/>
      <c r="GM60" s="230"/>
      <c r="GN60" s="230"/>
      <c r="GO60" s="230"/>
      <c r="GP60" s="230"/>
      <c r="GQ60" s="230"/>
      <c r="GR60" s="230"/>
      <c r="GS60" s="230"/>
      <c r="GT60" s="230"/>
      <c r="GU60" s="230"/>
      <c r="GV60" s="230"/>
      <c r="GW60" s="230"/>
      <c r="GX60" s="230"/>
      <c r="GY60" s="230"/>
      <c r="GZ60" s="230"/>
      <c r="HA60" s="230"/>
      <c r="HB60" s="230"/>
      <c r="HC60" s="230"/>
      <c r="HD60" s="230"/>
      <c r="HE60" s="230"/>
      <c r="HF60" s="230"/>
      <c r="HG60" s="230"/>
      <c r="HH60" s="230"/>
      <c r="HI60" s="230"/>
      <c r="HJ60" s="230"/>
      <c r="HK60" s="230"/>
      <c r="HL60" s="230"/>
      <c r="HM60" s="230"/>
      <c r="HN60" s="230"/>
      <c r="HO60" s="230"/>
      <c r="HP60" s="230"/>
      <c r="HQ60" s="230"/>
      <c r="HR60" s="230"/>
      <c r="HS60" s="230"/>
      <c r="HT60" s="230"/>
      <c r="HU60" s="230"/>
      <c r="HV60" s="230"/>
      <c r="HW60" s="230"/>
      <c r="HX60" s="230"/>
      <c r="HY60" s="230"/>
      <c r="HZ60" s="230"/>
      <c r="IA60" s="230"/>
      <c r="IB60" s="230"/>
      <c r="IC60" s="230"/>
      <c r="ID60" s="230"/>
      <c r="IE60" s="230"/>
      <c r="IF60" s="230"/>
      <c r="IG60" s="230"/>
      <c r="IH60" s="230"/>
      <c r="II60" s="230"/>
      <c r="IJ60" s="230"/>
      <c r="IK60" s="230"/>
      <c r="IL60" s="230"/>
      <c r="IM60" s="230"/>
      <c r="IN60" s="230"/>
      <c r="IO60" s="230"/>
      <c r="IP60" s="230"/>
      <c r="IQ60" s="230"/>
    </row>
    <row r="61" spans="1:251" s="73" customFormat="1">
      <c r="A61" s="432" t="s">
        <v>1577</v>
      </c>
      <c r="C61" s="194">
        <f>C44-C46-C60</f>
        <v>21408.21424606147</v>
      </c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0"/>
      <c r="DX61" s="230"/>
      <c r="DY61" s="230"/>
      <c r="DZ61" s="230"/>
      <c r="EA61" s="230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0"/>
      <c r="EP61" s="230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0"/>
      <c r="FF61" s="230"/>
      <c r="FG61" s="230"/>
      <c r="FH61" s="230"/>
      <c r="FI61" s="230"/>
      <c r="FJ61" s="230"/>
      <c r="FK61" s="230"/>
      <c r="FL61" s="230"/>
      <c r="FM61" s="230"/>
      <c r="FN61" s="230"/>
      <c r="FO61" s="230"/>
      <c r="FP61" s="230"/>
      <c r="FQ61" s="230"/>
      <c r="FR61" s="230"/>
      <c r="FS61" s="230"/>
      <c r="FT61" s="230"/>
      <c r="FU61" s="230"/>
      <c r="FV61" s="230"/>
      <c r="FW61" s="230"/>
      <c r="FX61" s="230"/>
      <c r="FY61" s="230"/>
      <c r="FZ61" s="230"/>
      <c r="GA61" s="230"/>
      <c r="GB61" s="230"/>
      <c r="GC61" s="230"/>
      <c r="GD61" s="230"/>
      <c r="GE61" s="230"/>
      <c r="GF61" s="230"/>
      <c r="GG61" s="230"/>
      <c r="GH61" s="230"/>
      <c r="GI61" s="230"/>
      <c r="GJ61" s="230"/>
      <c r="GK61" s="230"/>
      <c r="GL61" s="230"/>
      <c r="GM61" s="230"/>
      <c r="GN61" s="230"/>
      <c r="GO61" s="230"/>
      <c r="GP61" s="230"/>
      <c r="GQ61" s="230"/>
      <c r="GR61" s="230"/>
      <c r="GS61" s="230"/>
      <c r="GT61" s="230"/>
      <c r="GU61" s="230"/>
      <c r="GV61" s="230"/>
      <c r="GW61" s="230"/>
      <c r="GX61" s="230"/>
      <c r="GY61" s="230"/>
      <c r="GZ61" s="230"/>
      <c r="HA61" s="230"/>
      <c r="HB61" s="230"/>
      <c r="HC61" s="230"/>
      <c r="HD61" s="230"/>
      <c r="HE61" s="230"/>
      <c r="HF61" s="230"/>
      <c r="HG61" s="230"/>
      <c r="HH61" s="230"/>
      <c r="HI61" s="230"/>
      <c r="HJ61" s="230"/>
      <c r="HK61" s="230"/>
      <c r="HL61" s="230"/>
      <c r="HM61" s="230"/>
      <c r="HN61" s="230"/>
      <c r="HO61" s="230"/>
      <c r="HP61" s="230"/>
      <c r="HQ61" s="230"/>
      <c r="HR61" s="230"/>
      <c r="HS61" s="230"/>
      <c r="HT61" s="230"/>
      <c r="HU61" s="230"/>
      <c r="HV61" s="230"/>
      <c r="HW61" s="230"/>
      <c r="HX61" s="230"/>
      <c r="HY61" s="230"/>
      <c r="HZ61" s="230"/>
      <c r="IA61" s="230"/>
      <c r="IB61" s="230"/>
      <c r="IC61" s="230"/>
      <c r="ID61" s="230"/>
      <c r="IE61" s="230"/>
      <c r="IF61" s="230"/>
      <c r="IG61" s="230"/>
      <c r="IH61" s="230"/>
      <c r="II61" s="230"/>
      <c r="IJ61" s="230"/>
      <c r="IK61" s="230"/>
      <c r="IL61" s="230"/>
      <c r="IM61" s="230"/>
      <c r="IN61" s="230"/>
      <c r="IO61" s="230"/>
      <c r="IP61" s="230"/>
      <c r="IQ61" s="230"/>
    </row>
    <row r="62" spans="1:251" s="75" customForma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  <c r="EN62" s="197"/>
      <c r="EO62" s="197"/>
      <c r="EP62" s="197"/>
      <c r="EQ62" s="197"/>
      <c r="ER62" s="197"/>
      <c r="ES62" s="197"/>
      <c r="ET62" s="197"/>
      <c r="EU62" s="197"/>
      <c r="EV62" s="197"/>
      <c r="EW62" s="197"/>
      <c r="EX62" s="197"/>
      <c r="EY62" s="197"/>
      <c r="EZ62" s="197"/>
      <c r="FA62" s="197"/>
      <c r="FB62" s="197"/>
      <c r="FC62" s="197"/>
      <c r="FD62" s="197"/>
      <c r="FE62" s="197"/>
      <c r="FF62" s="197"/>
      <c r="FG62" s="197"/>
      <c r="FH62" s="197"/>
      <c r="FI62" s="197"/>
      <c r="FJ62" s="197"/>
      <c r="FK62" s="197"/>
      <c r="FL62" s="197"/>
      <c r="FM62" s="197"/>
      <c r="FN62" s="197"/>
      <c r="FO62" s="197"/>
      <c r="FP62" s="197"/>
      <c r="FQ62" s="197"/>
      <c r="FR62" s="197"/>
      <c r="FS62" s="197"/>
      <c r="FT62" s="197"/>
      <c r="FU62" s="197"/>
      <c r="FV62" s="197"/>
      <c r="FW62" s="197"/>
      <c r="FX62" s="197"/>
      <c r="FY62" s="197"/>
      <c r="FZ62" s="197"/>
      <c r="GA62" s="197"/>
      <c r="GB62" s="197"/>
      <c r="GC62" s="197"/>
      <c r="GD62" s="197"/>
      <c r="GE62" s="197"/>
      <c r="GF62" s="197"/>
      <c r="GG62" s="197"/>
      <c r="GH62" s="197"/>
      <c r="GI62" s="197"/>
      <c r="GJ62" s="197"/>
      <c r="GK62" s="197"/>
      <c r="GL62" s="197"/>
      <c r="GM62" s="197"/>
      <c r="GN62" s="197"/>
      <c r="GO62" s="197"/>
      <c r="GP62" s="197"/>
      <c r="GQ62" s="197"/>
      <c r="GR62" s="197"/>
      <c r="GS62" s="197"/>
      <c r="GT62" s="197"/>
      <c r="GU62" s="197"/>
      <c r="GV62" s="197"/>
      <c r="GW62" s="197"/>
      <c r="GX62" s="197"/>
      <c r="GY62" s="197"/>
      <c r="GZ62" s="197"/>
      <c r="HA62" s="197"/>
      <c r="HB62" s="197"/>
      <c r="HC62" s="197"/>
      <c r="HD62" s="197"/>
      <c r="HE62" s="197"/>
      <c r="HF62" s="197"/>
      <c r="HG62" s="197"/>
      <c r="HH62" s="197"/>
      <c r="HI62" s="197"/>
      <c r="HJ62" s="197"/>
      <c r="HK62" s="197"/>
      <c r="HL62" s="197"/>
      <c r="HM62" s="197"/>
      <c r="HN62" s="197"/>
      <c r="HO62" s="197"/>
      <c r="HP62" s="197"/>
      <c r="HQ62" s="197"/>
      <c r="HR62" s="197"/>
      <c r="HS62" s="197"/>
      <c r="HT62" s="197"/>
      <c r="HU62" s="197"/>
      <c r="HV62" s="197"/>
      <c r="HW62" s="197"/>
      <c r="HX62" s="197"/>
      <c r="HY62" s="197"/>
      <c r="HZ62" s="197"/>
      <c r="IA62" s="197"/>
      <c r="IB62" s="197"/>
      <c r="IC62" s="197"/>
      <c r="ID62" s="197"/>
      <c r="IE62" s="197"/>
      <c r="IF62" s="197"/>
      <c r="IG62" s="197"/>
      <c r="IH62" s="197"/>
      <c r="II62" s="197"/>
      <c r="IJ62" s="197"/>
      <c r="IK62" s="197"/>
      <c r="IL62" s="197"/>
      <c r="IM62" s="197"/>
      <c r="IN62" s="197"/>
      <c r="IO62" s="197"/>
      <c r="IP62" s="197"/>
      <c r="IQ62" s="197"/>
    </row>
    <row r="63" spans="1:251" s="75" customFormat="1">
      <c r="A63" s="458" t="s">
        <v>605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7"/>
      <c r="FF63" s="197"/>
      <c r="FG63" s="197"/>
      <c r="FH63" s="197"/>
      <c r="FI63" s="197"/>
      <c r="FJ63" s="197"/>
      <c r="FK63" s="197"/>
      <c r="FL63" s="197"/>
      <c r="FM63" s="197"/>
      <c r="FN63" s="197"/>
      <c r="FO63" s="197"/>
      <c r="FP63" s="197"/>
      <c r="FQ63" s="197"/>
      <c r="FR63" s="197"/>
      <c r="FS63" s="197"/>
      <c r="FT63" s="197"/>
      <c r="FU63" s="197"/>
      <c r="FV63" s="197"/>
      <c r="FW63" s="197"/>
      <c r="FX63" s="197"/>
      <c r="FY63" s="197"/>
      <c r="FZ63" s="197"/>
      <c r="GA63" s="197"/>
      <c r="GB63" s="197"/>
      <c r="GC63" s="197"/>
      <c r="GD63" s="197"/>
      <c r="GE63" s="197"/>
      <c r="GF63" s="197"/>
      <c r="GG63" s="197"/>
      <c r="GH63" s="197"/>
      <c r="GI63" s="197"/>
      <c r="GJ63" s="197"/>
      <c r="GK63" s="197"/>
      <c r="GL63" s="197"/>
      <c r="GM63" s="197"/>
      <c r="GN63" s="197"/>
      <c r="GO63" s="197"/>
      <c r="GP63" s="197"/>
      <c r="GQ63" s="197"/>
      <c r="GR63" s="197"/>
      <c r="GS63" s="197"/>
      <c r="GT63" s="197"/>
      <c r="GU63" s="197"/>
      <c r="GV63" s="197"/>
      <c r="GW63" s="197"/>
      <c r="GX63" s="197"/>
      <c r="GY63" s="197"/>
      <c r="GZ63" s="197"/>
      <c r="HA63" s="197"/>
      <c r="HB63" s="197"/>
      <c r="HC63" s="197"/>
      <c r="HD63" s="197"/>
      <c r="HE63" s="197"/>
      <c r="HF63" s="197"/>
      <c r="HG63" s="197"/>
      <c r="HH63" s="197"/>
      <c r="HI63" s="197"/>
      <c r="HJ63" s="197"/>
      <c r="HK63" s="197"/>
      <c r="HL63" s="197"/>
      <c r="HM63" s="197"/>
      <c r="HN63" s="197"/>
      <c r="HO63" s="197"/>
      <c r="HP63" s="197"/>
      <c r="HQ63" s="197"/>
      <c r="HR63" s="197"/>
      <c r="HS63" s="197"/>
      <c r="HT63" s="197"/>
      <c r="HU63" s="197"/>
      <c r="HV63" s="197"/>
      <c r="HW63" s="197"/>
      <c r="HX63" s="197"/>
      <c r="HY63" s="197"/>
      <c r="HZ63" s="197"/>
      <c r="IA63" s="197"/>
      <c r="IB63" s="197"/>
      <c r="IC63" s="197"/>
      <c r="ID63" s="197"/>
      <c r="IE63" s="197"/>
      <c r="IF63" s="197"/>
      <c r="IG63" s="197"/>
      <c r="IH63" s="197"/>
      <c r="II63" s="197"/>
      <c r="IJ63" s="197"/>
      <c r="IK63" s="197"/>
      <c r="IL63" s="197"/>
      <c r="IM63" s="197"/>
      <c r="IN63" s="197"/>
      <c r="IO63" s="197"/>
      <c r="IP63" s="197"/>
      <c r="IQ63" s="197"/>
    </row>
    <row r="64" spans="1:251" s="75" customFormat="1"/>
    <row r="65" spans="1:3" s="75" customFormat="1">
      <c r="A65" s="402" t="s">
        <v>519</v>
      </c>
      <c r="C65" s="75">
        <f>5.49*C36*12</f>
        <v>37618.138800000001</v>
      </c>
    </row>
    <row r="66" spans="1:3" s="75" customFormat="1">
      <c r="C66" s="459">
        <f>C65+C46</f>
        <v>118364.79455393854</v>
      </c>
    </row>
    <row r="67" spans="1:3" s="75" customFormat="1">
      <c r="C67" s="75">
        <f>C66/C46</f>
        <v>1.4658785982992877</v>
      </c>
    </row>
    <row r="68" spans="1:3" s="75" customFormat="1"/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92"/>
  <sheetViews>
    <sheetView tabSelected="1" topLeftCell="A65" workbookViewId="0">
      <selection activeCell="A65" sqref="A65:B89"/>
    </sheetView>
  </sheetViews>
  <sheetFormatPr defaultRowHeight="15"/>
  <cols>
    <col min="1" max="1" width="85.7109375" customWidth="1"/>
    <col min="2" max="2" width="9.85546875" customWidth="1"/>
    <col min="3" max="3" width="9.5703125" bestFit="1" customWidth="1"/>
    <col min="5" max="5" width="29" customWidth="1"/>
  </cols>
  <sheetData>
    <row r="1" spans="1:2" ht="15.75">
      <c r="A1" s="701" t="s">
        <v>364</v>
      </c>
      <c r="B1" s="701"/>
    </row>
    <row r="2" spans="1:2" ht="15.75">
      <c r="A2" s="702" t="s">
        <v>807</v>
      </c>
      <c r="B2" s="702"/>
    </row>
    <row r="3" spans="1:2" s="55" customFormat="1" ht="15.75">
      <c r="A3" s="702" t="s">
        <v>1403</v>
      </c>
      <c r="B3" s="702"/>
    </row>
    <row r="4" spans="1:2" s="55" customFormat="1" ht="15.75">
      <c r="A4" s="96"/>
      <c r="B4" s="86"/>
    </row>
    <row r="5" spans="1:2" ht="30">
      <c r="A5" s="260" t="s">
        <v>229</v>
      </c>
      <c r="B5" s="82" t="s">
        <v>523</v>
      </c>
    </row>
    <row r="6" spans="1:2" ht="15.75" thickBot="1">
      <c r="A6" s="260" t="s">
        <v>229</v>
      </c>
      <c r="B6" s="73"/>
    </row>
    <row r="7" spans="1:2" ht="15.75" thickBot="1">
      <c r="A7" s="384" t="s">
        <v>56</v>
      </c>
      <c r="B7" s="72"/>
    </row>
    <row r="8" spans="1:2" ht="15.75" thickBot="1">
      <c r="A8" s="380" t="s">
        <v>57</v>
      </c>
      <c r="B8" s="72"/>
    </row>
    <row r="9" spans="1:2" s="73" customFormat="1" ht="29.25" thickBot="1">
      <c r="A9" s="376" t="s">
        <v>816</v>
      </c>
      <c r="B9" s="72">
        <v>6</v>
      </c>
    </row>
    <row r="10" spans="1:2" s="73" customFormat="1">
      <c r="A10" s="226" t="s">
        <v>1404</v>
      </c>
      <c r="B10" s="72">
        <v>2</v>
      </c>
    </row>
    <row r="11" spans="1:2" s="73" customFormat="1" ht="28.5">
      <c r="A11" s="374" t="s">
        <v>819</v>
      </c>
      <c r="B11" s="72">
        <v>4</v>
      </c>
    </row>
    <row r="12" spans="1:2" s="73" customFormat="1" ht="28.5">
      <c r="A12" s="132" t="s">
        <v>821</v>
      </c>
      <c r="B12" s="123">
        <v>2</v>
      </c>
    </row>
    <row r="13" spans="1:2" s="73" customFormat="1" ht="42.75">
      <c r="A13" s="378" t="s">
        <v>1412</v>
      </c>
      <c r="B13" s="72">
        <v>8</v>
      </c>
    </row>
    <row r="14" spans="1:2" s="73" customFormat="1" ht="28.5" customHeight="1">
      <c r="A14" s="378" t="s">
        <v>1413</v>
      </c>
      <c r="B14" s="72">
        <v>8</v>
      </c>
    </row>
    <row r="15" spans="1:2" s="73" customFormat="1" ht="44.25" customHeight="1">
      <c r="A15" s="378" t="s">
        <v>1416</v>
      </c>
      <c r="B15" s="72">
        <v>16</v>
      </c>
    </row>
    <row r="16" spans="1:2" s="73" customFormat="1" ht="36" customHeight="1">
      <c r="A16" s="378" t="s">
        <v>1419</v>
      </c>
      <c r="B16" s="72">
        <v>8</v>
      </c>
    </row>
    <row r="17" spans="1:2" s="73" customFormat="1" ht="22.5" customHeight="1">
      <c r="A17" s="378" t="s">
        <v>1427</v>
      </c>
      <c r="B17" s="72">
        <v>5</v>
      </c>
    </row>
    <row r="18" spans="1:2" s="73" customFormat="1" ht="22.5" customHeight="1">
      <c r="A18" s="378" t="s">
        <v>1430</v>
      </c>
      <c r="B18" s="72">
        <v>4</v>
      </c>
    </row>
    <row r="19" spans="1:2">
      <c r="A19" s="191" t="s">
        <v>66</v>
      </c>
      <c r="B19" s="72"/>
    </row>
    <row r="20" spans="1:2" s="73" customFormat="1" ht="28.5">
      <c r="A20" s="132" t="s">
        <v>811</v>
      </c>
      <c r="B20" s="72">
        <v>4</v>
      </c>
    </row>
    <row r="21" spans="1:2" s="73" customFormat="1">
      <c r="A21" s="136" t="s">
        <v>812</v>
      </c>
      <c r="B21" s="123">
        <v>3</v>
      </c>
    </row>
    <row r="22" spans="1:2" s="73" customFormat="1" ht="21" customHeight="1">
      <c r="A22" s="84" t="s">
        <v>813</v>
      </c>
      <c r="B22" s="72">
        <v>4</v>
      </c>
    </row>
    <row r="23" spans="1:2" s="73" customFormat="1" ht="15" customHeight="1">
      <c r="A23" s="84" t="s">
        <v>814</v>
      </c>
      <c r="B23" s="72">
        <v>2</v>
      </c>
    </row>
    <row r="24" spans="1:2" s="73" customFormat="1" ht="18.75" customHeight="1">
      <c r="A24" s="128" t="s">
        <v>817</v>
      </c>
      <c r="B24" s="72">
        <v>4</v>
      </c>
    </row>
    <row r="25" spans="1:2" s="73" customFormat="1" ht="30">
      <c r="A25" s="94" t="s">
        <v>818</v>
      </c>
      <c r="B25" s="72">
        <v>1</v>
      </c>
    </row>
    <row r="26" spans="1:2" s="73" customFormat="1" ht="30">
      <c r="A26" s="94" t="s">
        <v>1406</v>
      </c>
      <c r="B26" s="72">
        <v>1</v>
      </c>
    </row>
    <row r="27" spans="1:2" s="73" customFormat="1" ht="14.25" customHeight="1">
      <c r="A27" s="374" t="s">
        <v>815</v>
      </c>
      <c r="B27" s="72">
        <v>4</v>
      </c>
    </row>
    <row r="28" spans="1:2" s="73" customFormat="1" ht="33" customHeight="1">
      <c r="A28" s="374" t="s">
        <v>1411</v>
      </c>
      <c r="B28" s="72">
        <v>24</v>
      </c>
    </row>
    <row r="29" spans="1:2" s="73" customFormat="1" ht="14.25" customHeight="1">
      <c r="A29" s="374" t="s">
        <v>1410</v>
      </c>
      <c r="B29" s="72">
        <v>4</v>
      </c>
    </row>
    <row r="30" spans="1:2" s="73" customFormat="1" ht="14.25" customHeight="1">
      <c r="A30" s="374" t="s">
        <v>1417</v>
      </c>
      <c r="B30" s="72">
        <v>1.5</v>
      </c>
    </row>
    <row r="31" spans="1:2" s="73" customFormat="1" ht="43.5" customHeight="1">
      <c r="A31" s="374" t="s">
        <v>1420</v>
      </c>
      <c r="B31" s="72">
        <v>8</v>
      </c>
    </row>
    <row r="32" spans="1:2" s="73" customFormat="1" ht="37.5" customHeight="1">
      <c r="A32" s="374" t="s">
        <v>1421</v>
      </c>
      <c r="B32" s="72">
        <v>4</v>
      </c>
    </row>
    <row r="33" spans="1:2" s="73" customFormat="1" ht="37.5" customHeight="1">
      <c r="A33" s="374" t="s">
        <v>1422</v>
      </c>
      <c r="B33" s="72">
        <v>4</v>
      </c>
    </row>
    <row r="34" spans="1:2" s="73" customFormat="1" ht="37.5" customHeight="1">
      <c r="A34" s="374" t="s">
        <v>1423</v>
      </c>
      <c r="B34" s="72">
        <v>4</v>
      </c>
    </row>
    <row r="35" spans="1:2" s="73" customFormat="1" ht="37.5" customHeight="1">
      <c r="A35" s="374" t="s">
        <v>1424</v>
      </c>
      <c r="B35" s="72">
        <v>4</v>
      </c>
    </row>
    <row r="36" spans="1:2" s="73" customFormat="1" ht="37.5" customHeight="1">
      <c r="A36" s="374" t="s">
        <v>1425</v>
      </c>
      <c r="B36" s="72">
        <v>4</v>
      </c>
    </row>
    <row r="37" spans="1:2" s="73" customFormat="1" ht="37.5" customHeight="1">
      <c r="A37" s="374" t="s">
        <v>1431</v>
      </c>
      <c r="B37" s="72">
        <v>4</v>
      </c>
    </row>
    <row r="38" spans="1:2" s="73" customFormat="1" ht="37.5" customHeight="1">
      <c r="A38" s="374" t="s">
        <v>1433</v>
      </c>
      <c r="B38" s="72">
        <v>4</v>
      </c>
    </row>
    <row r="39" spans="1:2">
      <c r="A39" s="382" t="s">
        <v>590</v>
      </c>
      <c r="B39" s="72"/>
    </row>
    <row r="40" spans="1:2" s="73" customFormat="1" ht="28.5">
      <c r="A40" s="378" t="s">
        <v>809</v>
      </c>
      <c r="B40" s="72">
        <v>3</v>
      </c>
    </row>
    <row r="41" spans="1:2" s="73" customFormat="1" ht="28.5">
      <c r="A41" s="374" t="s">
        <v>820</v>
      </c>
      <c r="B41" s="72">
        <v>2</v>
      </c>
    </row>
    <row r="42" spans="1:2" s="73" customFormat="1" ht="28.5">
      <c r="A42" s="378" t="s">
        <v>822</v>
      </c>
      <c r="B42" s="72">
        <v>3</v>
      </c>
    </row>
    <row r="43" spans="1:2" s="73" customFormat="1">
      <c r="A43" s="378" t="s">
        <v>823</v>
      </c>
      <c r="B43" s="72">
        <v>1</v>
      </c>
    </row>
    <row r="44" spans="1:2" s="73" customFormat="1">
      <c r="A44" s="157" t="s">
        <v>1408</v>
      </c>
      <c r="B44" s="72">
        <v>8</v>
      </c>
    </row>
    <row r="45" spans="1:2" s="73" customFormat="1" ht="28.5">
      <c r="A45" s="378" t="s">
        <v>1414</v>
      </c>
      <c r="B45" s="72">
        <v>4</v>
      </c>
    </row>
    <row r="46" spans="1:2" s="73" customFormat="1" ht="28.5">
      <c r="A46" s="378" t="s">
        <v>1418</v>
      </c>
      <c r="B46" s="72">
        <v>2</v>
      </c>
    </row>
    <row r="47" spans="1:2" s="73" customFormat="1" ht="42.75">
      <c r="A47" s="378" t="s">
        <v>1428</v>
      </c>
      <c r="B47" s="72">
        <v>2</v>
      </c>
    </row>
    <row r="48" spans="1:2" s="73" customFormat="1" ht="28.5">
      <c r="A48" s="378" t="s">
        <v>1429</v>
      </c>
      <c r="B48" s="72">
        <v>2</v>
      </c>
    </row>
    <row r="49" spans="1:2" ht="15.75" customHeight="1">
      <c r="A49" s="379" t="s">
        <v>548</v>
      </c>
      <c r="B49" s="72"/>
    </row>
    <row r="50" spans="1:2" s="73" customFormat="1" ht="28.5">
      <c r="A50" s="378" t="s">
        <v>836</v>
      </c>
      <c r="B50" s="72">
        <v>4</v>
      </c>
    </row>
    <row r="51" spans="1:2" s="73" customFormat="1">
      <c r="A51" s="378" t="s">
        <v>810</v>
      </c>
      <c r="B51" s="72">
        <v>1.5</v>
      </c>
    </row>
    <row r="52" spans="1:2" s="73" customFormat="1">
      <c r="A52" s="378" t="s">
        <v>1405</v>
      </c>
      <c r="B52" s="72">
        <v>1.5</v>
      </c>
    </row>
    <row r="53" spans="1:2" s="73" customFormat="1">
      <c r="A53" s="226" t="s">
        <v>824</v>
      </c>
      <c r="B53" s="72">
        <v>1.5</v>
      </c>
    </row>
    <row r="54" spans="1:2" s="73" customFormat="1">
      <c r="A54" s="378" t="s">
        <v>1407</v>
      </c>
      <c r="B54" s="72">
        <v>1</v>
      </c>
    </row>
    <row r="55" spans="1:2" s="73" customFormat="1" ht="28.5">
      <c r="A55" s="378" t="s">
        <v>825</v>
      </c>
      <c r="B55" s="72">
        <v>1</v>
      </c>
    </row>
    <row r="56" spans="1:2" s="73" customFormat="1" ht="28.5">
      <c r="A56" s="378" t="s">
        <v>826</v>
      </c>
      <c r="B56" s="72">
        <v>1</v>
      </c>
    </row>
    <row r="57" spans="1:2" s="73" customFormat="1" ht="28.5">
      <c r="A57" s="378" t="s">
        <v>1409</v>
      </c>
      <c r="B57" s="72">
        <v>2</v>
      </c>
    </row>
    <row r="58" spans="1:2" s="73" customFormat="1" ht="28.5">
      <c r="A58" s="378" t="s">
        <v>827</v>
      </c>
      <c r="B58" s="72">
        <v>2</v>
      </c>
    </row>
    <row r="59" spans="1:2" s="73" customFormat="1" ht="27.75" customHeight="1">
      <c r="A59" s="378" t="s">
        <v>828</v>
      </c>
      <c r="B59" s="72">
        <v>4</v>
      </c>
    </row>
    <row r="60" spans="1:2" s="73" customFormat="1" ht="18" customHeight="1">
      <c r="A60" s="378" t="s">
        <v>1415</v>
      </c>
      <c r="B60" s="72">
        <v>1</v>
      </c>
    </row>
    <row r="61" spans="1:2" s="73" customFormat="1" ht="18" customHeight="1">
      <c r="A61" s="378" t="s">
        <v>1426</v>
      </c>
      <c r="B61" s="72">
        <v>1</v>
      </c>
    </row>
    <row r="62" spans="1:2" s="73" customFormat="1" ht="18" customHeight="1">
      <c r="A62" s="378" t="s">
        <v>1432</v>
      </c>
      <c r="B62" s="72">
        <v>1</v>
      </c>
    </row>
    <row r="63" spans="1:2" ht="15.75" thickBot="1">
      <c r="A63" s="385" t="s">
        <v>587</v>
      </c>
      <c r="B63" s="72">
        <f>SUM(B7:B62)</f>
        <v>201</v>
      </c>
    </row>
    <row r="64" spans="1:2">
      <c r="A64" s="78"/>
      <c r="B64" s="75"/>
    </row>
    <row r="65" spans="1:248" s="197" customFormat="1" ht="43.5" customHeight="1">
      <c r="A65" s="434" t="s">
        <v>1587</v>
      </c>
      <c r="IN65" s="75"/>
    </row>
    <row r="66" spans="1:248" s="73" customFormat="1">
      <c r="A66" s="196" t="s">
        <v>650</v>
      </c>
      <c r="B66" s="196">
        <v>1256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0"/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230"/>
      <c r="FO66" s="230"/>
      <c r="FP66" s="230"/>
      <c r="FQ66" s="230"/>
      <c r="FR66" s="230"/>
      <c r="FS66" s="230"/>
      <c r="FT66" s="230"/>
      <c r="FU66" s="230"/>
      <c r="FV66" s="230"/>
      <c r="FW66" s="230"/>
      <c r="FX66" s="230"/>
      <c r="FY66" s="230"/>
      <c r="FZ66" s="230"/>
      <c r="GA66" s="230"/>
      <c r="GB66" s="230"/>
      <c r="GC66" s="230"/>
      <c r="GD66" s="230"/>
      <c r="GE66" s="230"/>
      <c r="GF66" s="230"/>
      <c r="GG66" s="230"/>
      <c r="GH66" s="230"/>
      <c r="GI66" s="230"/>
      <c r="GJ66" s="230"/>
      <c r="GK66" s="230"/>
      <c r="GL66" s="230"/>
      <c r="GM66" s="230"/>
      <c r="GN66" s="230"/>
      <c r="GO66" s="230"/>
      <c r="GP66" s="230"/>
      <c r="GQ66" s="230"/>
      <c r="GR66" s="230"/>
      <c r="GS66" s="230"/>
      <c r="GT66" s="230"/>
      <c r="GU66" s="230"/>
      <c r="GV66" s="230"/>
      <c r="GW66" s="230"/>
      <c r="GX66" s="230"/>
      <c r="GY66" s="230"/>
      <c r="GZ66" s="230"/>
      <c r="HA66" s="230"/>
      <c r="HB66" s="230"/>
      <c r="HC66" s="230"/>
      <c r="HD66" s="230"/>
      <c r="HE66" s="230"/>
      <c r="HF66" s="230"/>
      <c r="HG66" s="230"/>
      <c r="HH66" s="230"/>
      <c r="HI66" s="230"/>
      <c r="HJ66" s="230"/>
      <c r="HK66" s="230"/>
      <c r="HL66" s="230"/>
      <c r="HM66" s="230"/>
      <c r="HN66" s="230"/>
      <c r="HO66" s="230"/>
      <c r="HP66" s="230"/>
      <c r="HQ66" s="230"/>
      <c r="HR66" s="230"/>
      <c r="HS66" s="230"/>
      <c r="HT66" s="230"/>
      <c r="HU66" s="230"/>
      <c r="HV66" s="230"/>
      <c r="HW66" s="230"/>
      <c r="HX66" s="230"/>
      <c r="HY66" s="230"/>
      <c r="HZ66" s="230"/>
      <c r="IA66" s="230"/>
      <c r="IB66" s="230"/>
      <c r="IC66" s="230"/>
      <c r="ID66" s="230"/>
      <c r="IE66" s="230"/>
      <c r="IF66" s="230"/>
      <c r="IG66" s="230"/>
      <c r="IH66" s="230"/>
      <c r="II66" s="230"/>
      <c r="IJ66" s="230"/>
      <c r="IK66" s="230"/>
      <c r="IL66" s="230"/>
      <c r="IM66" s="230"/>
    </row>
    <row r="67" spans="1:248" s="73" customFormat="1">
      <c r="A67" s="196" t="s">
        <v>594</v>
      </c>
      <c r="B67" s="196">
        <v>17.829999999999998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0"/>
      <c r="DX67" s="230"/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0"/>
      <c r="EK67" s="230"/>
      <c r="EL67" s="230"/>
      <c r="EM67" s="230"/>
      <c r="EN67" s="230"/>
      <c r="EO67" s="230"/>
      <c r="EP67" s="230"/>
      <c r="EQ67" s="230"/>
      <c r="ER67" s="230"/>
      <c r="ES67" s="230"/>
      <c r="ET67" s="230"/>
      <c r="EU67" s="230"/>
      <c r="EV67" s="230"/>
      <c r="EW67" s="230"/>
      <c r="EX67" s="230"/>
      <c r="EY67" s="230"/>
      <c r="EZ67" s="230"/>
      <c r="FA67" s="230"/>
      <c r="FB67" s="230"/>
      <c r="FC67" s="230"/>
      <c r="FD67" s="230"/>
      <c r="FE67" s="230"/>
      <c r="FF67" s="230"/>
      <c r="FG67" s="230"/>
      <c r="FH67" s="230"/>
      <c r="FI67" s="230"/>
      <c r="FJ67" s="230"/>
      <c r="FK67" s="230"/>
      <c r="FL67" s="230"/>
      <c r="FM67" s="230"/>
      <c r="FN67" s="230"/>
      <c r="FO67" s="230"/>
      <c r="FP67" s="230"/>
      <c r="FQ67" s="230"/>
      <c r="FR67" s="230"/>
      <c r="FS67" s="230"/>
      <c r="FT67" s="230"/>
      <c r="FU67" s="230"/>
      <c r="FV67" s="230"/>
      <c r="FW67" s="230"/>
      <c r="FX67" s="230"/>
      <c r="FY67" s="230"/>
      <c r="FZ67" s="230"/>
      <c r="GA67" s="230"/>
      <c r="GB67" s="230"/>
      <c r="GC67" s="230"/>
      <c r="GD67" s="230"/>
      <c r="GE67" s="230"/>
      <c r="GF67" s="230"/>
      <c r="GG67" s="230"/>
      <c r="GH67" s="230"/>
      <c r="GI67" s="230"/>
      <c r="GJ67" s="230"/>
      <c r="GK67" s="230"/>
      <c r="GL67" s="230"/>
      <c r="GM67" s="230"/>
      <c r="GN67" s="230"/>
      <c r="GO67" s="230"/>
      <c r="GP67" s="230"/>
      <c r="GQ67" s="230"/>
      <c r="GR67" s="230"/>
      <c r="GS67" s="230"/>
      <c r="GT67" s="230"/>
      <c r="GU67" s="230"/>
      <c r="GV67" s="230"/>
      <c r="GW67" s="230"/>
      <c r="GX67" s="230"/>
      <c r="GY67" s="230"/>
      <c r="GZ67" s="230"/>
      <c r="HA67" s="230"/>
      <c r="HB67" s="230"/>
      <c r="HC67" s="230"/>
      <c r="HD67" s="230"/>
      <c r="HE67" s="230"/>
      <c r="HF67" s="230"/>
      <c r="HG67" s="230"/>
      <c r="HH67" s="230"/>
      <c r="HI67" s="230"/>
      <c r="HJ67" s="230"/>
      <c r="HK67" s="230"/>
      <c r="HL67" s="230"/>
      <c r="HM67" s="230"/>
      <c r="HN67" s="230"/>
      <c r="HO67" s="230"/>
      <c r="HP67" s="230"/>
      <c r="HQ67" s="230"/>
      <c r="HR67" s="230"/>
      <c r="HS67" s="230"/>
      <c r="HT67" s="230"/>
      <c r="HU67" s="230"/>
      <c r="HV67" s="230"/>
      <c r="HW67" s="230"/>
      <c r="HX67" s="230"/>
      <c r="HY67" s="230"/>
      <c r="HZ67" s="230"/>
      <c r="IA67" s="230"/>
      <c r="IB67" s="230"/>
      <c r="IC67" s="230"/>
      <c r="ID67" s="230"/>
      <c r="IE67" s="230"/>
      <c r="IF67" s="230"/>
      <c r="IG67" s="230"/>
      <c r="IH67" s="230"/>
      <c r="II67" s="230"/>
      <c r="IJ67" s="230"/>
      <c r="IK67" s="230"/>
      <c r="IL67" s="230"/>
      <c r="IM67" s="230"/>
    </row>
    <row r="68" spans="1:248" s="73" customFormat="1">
      <c r="A68" s="193" t="s">
        <v>588</v>
      </c>
      <c r="B68" s="193">
        <v>71296.179999999993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  <c r="FI68" s="230"/>
      <c r="FJ68" s="230"/>
      <c r="FK68" s="230"/>
      <c r="FL68" s="230"/>
      <c r="FM68" s="230"/>
      <c r="FN68" s="230"/>
      <c r="FO68" s="230"/>
      <c r="FP68" s="230"/>
      <c r="FQ68" s="230"/>
      <c r="FR68" s="230"/>
      <c r="FS68" s="230"/>
      <c r="FT68" s="230"/>
      <c r="FU68" s="230"/>
      <c r="FV68" s="230"/>
      <c r="FW68" s="230"/>
      <c r="FX68" s="230"/>
      <c r="FY68" s="230"/>
      <c r="FZ68" s="230"/>
      <c r="GA68" s="230"/>
      <c r="GB68" s="230"/>
      <c r="GC68" s="230"/>
      <c r="GD68" s="230"/>
      <c r="GE68" s="230"/>
      <c r="GF68" s="230"/>
      <c r="GG68" s="230"/>
      <c r="GH68" s="230"/>
      <c r="GI68" s="230"/>
      <c r="GJ68" s="230"/>
      <c r="GK68" s="230"/>
      <c r="GL68" s="230"/>
      <c r="GM68" s="230"/>
      <c r="GN68" s="230"/>
      <c r="GO68" s="230"/>
      <c r="GP68" s="230"/>
      <c r="GQ68" s="230"/>
      <c r="GR68" s="230"/>
      <c r="GS68" s="230"/>
      <c r="GT68" s="230"/>
      <c r="GU68" s="230"/>
      <c r="GV68" s="230"/>
      <c r="GW68" s="230"/>
      <c r="GX68" s="230"/>
      <c r="GY68" s="230"/>
      <c r="GZ68" s="230"/>
      <c r="HA68" s="230"/>
      <c r="HB68" s="230"/>
      <c r="HC68" s="230"/>
      <c r="HD68" s="230"/>
      <c r="HE68" s="230"/>
      <c r="HF68" s="230"/>
      <c r="HG68" s="230"/>
      <c r="HH68" s="230"/>
      <c r="HI68" s="230"/>
      <c r="HJ68" s="230"/>
      <c r="HK68" s="230"/>
      <c r="HL68" s="230"/>
      <c r="HM68" s="230"/>
      <c r="HN68" s="230"/>
      <c r="HO68" s="230"/>
      <c r="HP68" s="230"/>
      <c r="HQ68" s="230"/>
      <c r="HR68" s="230"/>
      <c r="HS68" s="230"/>
      <c r="HT68" s="230"/>
      <c r="HU68" s="230"/>
      <c r="HV68" s="230"/>
      <c r="HW68" s="230"/>
      <c r="HX68" s="230"/>
      <c r="HY68" s="230"/>
      <c r="HZ68" s="230"/>
      <c r="IA68" s="230"/>
      <c r="IB68" s="230"/>
      <c r="IC68" s="230"/>
      <c r="ID68" s="230"/>
      <c r="IE68" s="230"/>
      <c r="IF68" s="230"/>
      <c r="IG68" s="230"/>
      <c r="IH68" s="230"/>
      <c r="II68" s="230"/>
      <c r="IJ68" s="230"/>
      <c r="IK68" s="230"/>
      <c r="IL68" s="230"/>
      <c r="IM68" s="230"/>
    </row>
    <row r="69" spans="1:248" s="73" customFormat="1">
      <c r="A69" s="193" t="s">
        <v>1563</v>
      </c>
      <c r="B69" s="194">
        <v>268734.24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0"/>
      <c r="CZ69" s="230"/>
      <c r="DA69" s="230"/>
      <c r="DB69" s="230"/>
      <c r="DC69" s="230"/>
      <c r="DD69" s="230"/>
      <c r="DE69" s="230"/>
      <c r="DF69" s="230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0"/>
      <c r="DS69" s="230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0"/>
      <c r="EF69" s="230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0"/>
      <c r="ES69" s="230"/>
      <c r="ET69" s="230"/>
      <c r="EU69" s="230"/>
      <c r="EV69" s="230"/>
      <c r="EW69" s="230"/>
      <c r="EX69" s="230"/>
      <c r="EY69" s="230"/>
      <c r="EZ69" s="230"/>
      <c r="FA69" s="230"/>
      <c r="FB69" s="230"/>
      <c r="FC69" s="230"/>
      <c r="FD69" s="230"/>
      <c r="FE69" s="230"/>
      <c r="FF69" s="230"/>
      <c r="FG69" s="230"/>
      <c r="FH69" s="230"/>
      <c r="FI69" s="230"/>
      <c r="FJ69" s="230"/>
      <c r="FK69" s="230"/>
      <c r="FL69" s="230"/>
      <c r="FM69" s="230"/>
      <c r="FN69" s="230"/>
      <c r="FO69" s="230"/>
      <c r="FP69" s="230"/>
      <c r="FQ69" s="230"/>
      <c r="FR69" s="230"/>
      <c r="FS69" s="230"/>
      <c r="FT69" s="230"/>
      <c r="FU69" s="230"/>
      <c r="FV69" s="230"/>
      <c r="FW69" s="230"/>
      <c r="FX69" s="230"/>
      <c r="FY69" s="230"/>
      <c r="FZ69" s="230"/>
      <c r="GA69" s="230"/>
      <c r="GB69" s="230"/>
      <c r="GC69" s="230"/>
      <c r="GD69" s="230"/>
      <c r="GE69" s="230"/>
      <c r="GF69" s="230"/>
      <c r="GG69" s="230"/>
      <c r="GH69" s="230"/>
      <c r="GI69" s="230"/>
      <c r="GJ69" s="230"/>
      <c r="GK69" s="230"/>
      <c r="GL69" s="230"/>
      <c r="GM69" s="230"/>
      <c r="GN69" s="230"/>
      <c r="GO69" s="230"/>
      <c r="GP69" s="230"/>
      <c r="GQ69" s="230"/>
      <c r="GR69" s="230"/>
      <c r="GS69" s="230"/>
      <c r="GT69" s="230"/>
      <c r="GU69" s="230"/>
      <c r="GV69" s="230"/>
      <c r="GW69" s="230"/>
      <c r="GX69" s="230"/>
      <c r="GY69" s="230"/>
      <c r="GZ69" s="230"/>
      <c r="HA69" s="230"/>
      <c r="HB69" s="230"/>
      <c r="HC69" s="230"/>
      <c r="HD69" s="230"/>
      <c r="HE69" s="230"/>
      <c r="HF69" s="230"/>
      <c r="HG69" s="230"/>
      <c r="HH69" s="230"/>
      <c r="HI69" s="230"/>
      <c r="HJ69" s="230"/>
      <c r="HK69" s="230"/>
      <c r="HL69" s="230"/>
      <c r="HM69" s="230"/>
      <c r="HN69" s="230"/>
      <c r="HO69" s="230"/>
      <c r="HP69" s="230"/>
      <c r="HQ69" s="230"/>
      <c r="HR69" s="230"/>
      <c r="HS69" s="230"/>
      <c r="HT69" s="230"/>
      <c r="HU69" s="230"/>
      <c r="HV69" s="230"/>
      <c r="HW69" s="230"/>
      <c r="HX69" s="230"/>
      <c r="HY69" s="230"/>
      <c r="HZ69" s="230"/>
      <c r="IA69" s="230"/>
      <c r="IB69" s="230"/>
      <c r="IC69" s="230"/>
      <c r="ID69" s="230"/>
      <c r="IE69" s="230"/>
      <c r="IF69" s="230"/>
      <c r="IG69" s="230"/>
      <c r="IH69" s="230"/>
      <c r="II69" s="230"/>
      <c r="IJ69" s="230"/>
      <c r="IK69" s="230"/>
      <c r="IL69" s="230"/>
      <c r="IM69" s="230"/>
    </row>
    <row r="70" spans="1:248" s="73" customFormat="1">
      <c r="A70" s="193" t="s">
        <v>1564</v>
      </c>
      <c r="B70" s="194">
        <v>9180.3799999999992</v>
      </c>
      <c r="C70" s="429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  <c r="CM70" s="230"/>
      <c r="CN70" s="230"/>
      <c r="CO70" s="230"/>
      <c r="CP70" s="230"/>
      <c r="CQ70" s="230"/>
      <c r="CR70" s="230"/>
      <c r="CS70" s="230"/>
      <c r="CT70" s="230"/>
      <c r="CU70" s="230"/>
      <c r="CV70" s="230"/>
      <c r="CW70" s="230"/>
      <c r="CX70" s="230"/>
      <c r="CY70" s="230"/>
      <c r="CZ70" s="230"/>
      <c r="DA70" s="230"/>
      <c r="DB70" s="230"/>
      <c r="DC70" s="230"/>
      <c r="DD70" s="230"/>
      <c r="DE70" s="230"/>
      <c r="DF70" s="230"/>
      <c r="DG70" s="230"/>
      <c r="DH70" s="230"/>
      <c r="DI70" s="230"/>
      <c r="DJ70" s="230"/>
      <c r="DK70" s="230"/>
      <c r="DL70" s="230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0"/>
      <c r="DX70" s="230"/>
      <c r="DY70" s="230"/>
      <c r="DZ70" s="230"/>
      <c r="EA70" s="230"/>
      <c r="EB70" s="230"/>
      <c r="EC70" s="230"/>
      <c r="ED70" s="230"/>
      <c r="EE70" s="230"/>
      <c r="EF70" s="230"/>
      <c r="EG70" s="230"/>
      <c r="EH70" s="230"/>
      <c r="EI70" s="230"/>
      <c r="EJ70" s="230"/>
      <c r="EK70" s="230"/>
      <c r="EL70" s="230"/>
      <c r="EM70" s="230"/>
      <c r="EN70" s="230"/>
      <c r="EO70" s="230"/>
      <c r="EP70" s="230"/>
      <c r="EQ70" s="230"/>
      <c r="ER70" s="230"/>
      <c r="ES70" s="230"/>
      <c r="ET70" s="230"/>
      <c r="EU70" s="230"/>
      <c r="EV70" s="230"/>
      <c r="EW70" s="230"/>
      <c r="EX70" s="230"/>
      <c r="EY70" s="230"/>
      <c r="EZ70" s="230"/>
      <c r="FA70" s="230"/>
      <c r="FB70" s="230"/>
      <c r="FC70" s="230"/>
      <c r="FD70" s="230"/>
      <c r="FE70" s="230"/>
      <c r="FF70" s="230"/>
      <c r="FG70" s="230"/>
      <c r="FH70" s="230"/>
      <c r="FI70" s="230"/>
      <c r="FJ70" s="230"/>
      <c r="FK70" s="230"/>
      <c r="FL70" s="230"/>
      <c r="FM70" s="230"/>
      <c r="FN70" s="230"/>
      <c r="FO70" s="230"/>
      <c r="FP70" s="230"/>
      <c r="FQ70" s="230"/>
      <c r="FR70" s="230"/>
      <c r="FS70" s="230"/>
      <c r="FT70" s="230"/>
      <c r="FU70" s="230"/>
      <c r="FV70" s="230"/>
      <c r="FW70" s="230"/>
      <c r="FX70" s="230"/>
      <c r="FY70" s="230"/>
      <c r="FZ70" s="230"/>
      <c r="GA70" s="230"/>
      <c r="GB70" s="230"/>
      <c r="GC70" s="230"/>
      <c r="GD70" s="230"/>
      <c r="GE70" s="230"/>
      <c r="GF70" s="230"/>
      <c r="GG70" s="230"/>
      <c r="GH70" s="230"/>
      <c r="GI70" s="230"/>
      <c r="GJ70" s="230"/>
      <c r="GK70" s="230"/>
      <c r="GL70" s="230"/>
      <c r="GM70" s="230"/>
      <c r="GN70" s="230"/>
      <c r="GO70" s="230"/>
      <c r="GP70" s="230"/>
      <c r="GQ70" s="230"/>
      <c r="GR70" s="230"/>
      <c r="GS70" s="230"/>
      <c r="GT70" s="230"/>
      <c r="GU70" s="230"/>
      <c r="GV70" s="230"/>
      <c r="GW70" s="230"/>
      <c r="GX70" s="230"/>
      <c r="GY70" s="230"/>
      <c r="GZ70" s="230"/>
      <c r="HA70" s="230"/>
      <c r="HB70" s="230"/>
      <c r="HC70" s="230"/>
      <c r="HD70" s="230"/>
      <c r="HE70" s="230"/>
      <c r="HF70" s="230"/>
      <c r="HG70" s="230"/>
      <c r="HH70" s="230"/>
      <c r="HI70" s="230"/>
      <c r="HJ70" s="230"/>
      <c r="HK70" s="230"/>
      <c r="HL70" s="230"/>
      <c r="HM70" s="230"/>
      <c r="HN70" s="230"/>
      <c r="HO70" s="230"/>
      <c r="HP70" s="230"/>
      <c r="HQ70" s="230"/>
      <c r="HR70" s="230"/>
      <c r="HS70" s="230"/>
      <c r="HT70" s="230"/>
      <c r="HU70" s="230"/>
      <c r="HV70" s="230"/>
      <c r="HW70" s="230"/>
      <c r="HX70" s="230"/>
      <c r="HY70" s="230"/>
      <c r="HZ70" s="230"/>
      <c r="IA70" s="230"/>
      <c r="IB70" s="230"/>
      <c r="IC70" s="230"/>
      <c r="ID70" s="230"/>
      <c r="IE70" s="230"/>
      <c r="IF70" s="230"/>
      <c r="IG70" s="230"/>
      <c r="IH70" s="230"/>
      <c r="II70" s="230"/>
      <c r="IJ70" s="230"/>
      <c r="IK70" s="230"/>
      <c r="IL70" s="230"/>
      <c r="IM70" s="230"/>
    </row>
    <row r="71" spans="1:248" s="73" customFormat="1">
      <c r="A71" s="193" t="s">
        <v>798</v>
      </c>
      <c r="B71" s="194">
        <f>B68+B69+B70-B72-20000</f>
        <v>225070.06</v>
      </c>
      <c r="C71" s="429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30"/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0"/>
      <c r="DJ71" s="230"/>
      <c r="DK71" s="230"/>
      <c r="DL71" s="230"/>
      <c r="DM71" s="230"/>
      <c r="DN71" s="230"/>
      <c r="DO71" s="230"/>
      <c r="DP71" s="230"/>
      <c r="DQ71" s="230"/>
      <c r="DR71" s="230"/>
      <c r="DS71" s="230"/>
      <c r="DT71" s="230"/>
      <c r="DU71" s="230"/>
      <c r="DV71" s="230"/>
      <c r="DW71" s="230"/>
      <c r="DX71" s="230"/>
      <c r="DY71" s="230"/>
      <c r="DZ71" s="230"/>
      <c r="EA71" s="230"/>
      <c r="EB71" s="230"/>
      <c r="EC71" s="230"/>
      <c r="ED71" s="230"/>
      <c r="EE71" s="230"/>
      <c r="EF71" s="230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0"/>
      <c r="ES71" s="230"/>
      <c r="ET71" s="230"/>
      <c r="EU71" s="230"/>
      <c r="EV71" s="230"/>
      <c r="EW71" s="230"/>
      <c r="EX71" s="230"/>
      <c r="EY71" s="230"/>
      <c r="EZ71" s="230"/>
      <c r="FA71" s="230"/>
      <c r="FB71" s="230"/>
      <c r="FC71" s="230"/>
      <c r="FD71" s="230"/>
      <c r="FE71" s="230"/>
      <c r="FF71" s="230"/>
      <c r="FG71" s="230"/>
      <c r="FH71" s="230"/>
      <c r="FI71" s="230"/>
      <c r="FJ71" s="230"/>
      <c r="FK71" s="230"/>
      <c r="FL71" s="230"/>
      <c r="FM71" s="230"/>
      <c r="FN71" s="230"/>
      <c r="FO71" s="230"/>
      <c r="FP71" s="230"/>
      <c r="FQ71" s="230"/>
      <c r="FR71" s="230"/>
      <c r="FS71" s="230"/>
      <c r="FT71" s="230"/>
      <c r="FU71" s="230"/>
      <c r="FV71" s="230"/>
      <c r="FW71" s="230"/>
      <c r="FX71" s="230"/>
      <c r="FY71" s="230"/>
      <c r="FZ71" s="230"/>
      <c r="GA71" s="230"/>
      <c r="GB71" s="230"/>
      <c r="GC71" s="230"/>
      <c r="GD71" s="230"/>
      <c r="GE71" s="230"/>
      <c r="GF71" s="230"/>
      <c r="GG71" s="230"/>
      <c r="GH71" s="230"/>
      <c r="GI71" s="230"/>
      <c r="GJ71" s="230"/>
      <c r="GK71" s="230"/>
      <c r="GL71" s="230"/>
      <c r="GM71" s="230"/>
      <c r="GN71" s="230"/>
      <c r="GO71" s="230"/>
      <c r="GP71" s="230"/>
      <c r="GQ71" s="230"/>
      <c r="GR71" s="230"/>
      <c r="GS71" s="230"/>
      <c r="GT71" s="230"/>
      <c r="GU71" s="230"/>
      <c r="GV71" s="230"/>
      <c r="GW71" s="230"/>
      <c r="GX71" s="230"/>
      <c r="GY71" s="230"/>
      <c r="GZ71" s="230"/>
      <c r="HA71" s="230"/>
      <c r="HB71" s="230"/>
      <c r="HC71" s="230"/>
      <c r="HD71" s="230"/>
      <c r="HE71" s="230"/>
      <c r="HF71" s="230"/>
      <c r="HG71" s="230"/>
      <c r="HH71" s="230"/>
      <c r="HI71" s="230"/>
      <c r="HJ71" s="230"/>
      <c r="HK71" s="230"/>
      <c r="HL71" s="230"/>
      <c r="HM71" s="230"/>
      <c r="HN71" s="230"/>
      <c r="HO71" s="230"/>
      <c r="HP71" s="230"/>
      <c r="HQ71" s="230"/>
      <c r="HR71" s="230"/>
      <c r="HS71" s="230"/>
      <c r="HT71" s="230"/>
      <c r="HU71" s="230"/>
      <c r="HV71" s="230"/>
      <c r="HW71" s="230"/>
      <c r="HX71" s="230"/>
      <c r="HY71" s="230"/>
      <c r="HZ71" s="230"/>
      <c r="IA71" s="230"/>
      <c r="IB71" s="230"/>
      <c r="IC71" s="230"/>
      <c r="ID71" s="230"/>
      <c r="IE71" s="230"/>
      <c r="IF71" s="230"/>
      <c r="IG71" s="230"/>
      <c r="IH71" s="230"/>
      <c r="II71" s="230"/>
      <c r="IJ71" s="230"/>
      <c r="IK71" s="230"/>
      <c r="IL71" s="230"/>
      <c r="IM71" s="230"/>
    </row>
    <row r="72" spans="1:248" s="73" customFormat="1">
      <c r="A72" s="193" t="s">
        <v>1590</v>
      </c>
      <c r="B72" s="193">
        <v>104140.74</v>
      </c>
      <c r="C72" s="429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0"/>
      <c r="CM72" s="230"/>
      <c r="CN72" s="230"/>
      <c r="CO72" s="230"/>
      <c r="CP72" s="230"/>
      <c r="CQ72" s="230"/>
      <c r="CR72" s="230"/>
      <c r="CS72" s="230"/>
      <c r="CT72" s="230"/>
      <c r="CU72" s="230"/>
      <c r="CV72" s="230"/>
      <c r="CW72" s="230"/>
      <c r="CX72" s="230"/>
      <c r="CY72" s="230"/>
      <c r="CZ72" s="230"/>
      <c r="DA72" s="230"/>
      <c r="DB72" s="230"/>
      <c r="DC72" s="230"/>
      <c r="DD72" s="230"/>
      <c r="DE72" s="230"/>
      <c r="DF72" s="230"/>
      <c r="DG72" s="230"/>
      <c r="DH72" s="230"/>
      <c r="DI72" s="230"/>
      <c r="DJ72" s="230"/>
      <c r="DK72" s="230"/>
      <c r="DL72" s="230"/>
      <c r="DM72" s="230"/>
      <c r="DN72" s="230"/>
      <c r="DO72" s="230"/>
      <c r="DP72" s="230"/>
      <c r="DQ72" s="230"/>
      <c r="DR72" s="230"/>
      <c r="DS72" s="230"/>
      <c r="DT72" s="230"/>
      <c r="DU72" s="230"/>
      <c r="DV72" s="230"/>
      <c r="DW72" s="230"/>
      <c r="DX72" s="230"/>
      <c r="DY72" s="230"/>
      <c r="DZ72" s="230"/>
      <c r="EA72" s="230"/>
      <c r="EB72" s="230"/>
      <c r="EC72" s="230"/>
      <c r="ED72" s="230"/>
      <c r="EE72" s="230"/>
      <c r="EF72" s="230"/>
      <c r="EG72" s="230"/>
      <c r="EH72" s="230"/>
      <c r="EI72" s="230"/>
      <c r="EJ72" s="230"/>
      <c r="EK72" s="230"/>
      <c r="EL72" s="230"/>
      <c r="EM72" s="230"/>
      <c r="EN72" s="230"/>
      <c r="EO72" s="230"/>
      <c r="EP72" s="230"/>
      <c r="EQ72" s="230"/>
      <c r="ER72" s="230"/>
      <c r="ES72" s="230"/>
      <c r="ET72" s="230"/>
      <c r="EU72" s="230"/>
      <c r="EV72" s="230"/>
      <c r="EW72" s="230"/>
      <c r="EX72" s="230"/>
      <c r="EY72" s="230"/>
      <c r="EZ72" s="230"/>
      <c r="FA72" s="230"/>
      <c r="FB72" s="230"/>
      <c r="FC72" s="230"/>
      <c r="FD72" s="230"/>
      <c r="FE72" s="230"/>
      <c r="FF72" s="230"/>
      <c r="FG72" s="230"/>
      <c r="FH72" s="230"/>
      <c r="FI72" s="230"/>
      <c r="FJ72" s="230"/>
      <c r="FK72" s="230"/>
      <c r="FL72" s="230"/>
      <c r="FM72" s="230"/>
      <c r="FN72" s="230"/>
      <c r="FO72" s="230"/>
      <c r="FP72" s="230"/>
      <c r="FQ72" s="230"/>
      <c r="FR72" s="230"/>
      <c r="FS72" s="230"/>
      <c r="FT72" s="230"/>
      <c r="FU72" s="230"/>
      <c r="FV72" s="230"/>
      <c r="FW72" s="230"/>
      <c r="FX72" s="230"/>
      <c r="FY72" s="230"/>
      <c r="FZ72" s="230"/>
      <c r="GA72" s="230"/>
      <c r="GB72" s="230"/>
      <c r="GC72" s="230"/>
      <c r="GD72" s="230"/>
      <c r="GE72" s="230"/>
      <c r="GF72" s="230"/>
      <c r="GG72" s="230"/>
      <c r="GH72" s="230"/>
      <c r="GI72" s="230"/>
      <c r="GJ72" s="230"/>
      <c r="GK72" s="230"/>
      <c r="GL72" s="230"/>
      <c r="GM72" s="230"/>
      <c r="GN72" s="230"/>
      <c r="GO72" s="230"/>
      <c r="GP72" s="230"/>
      <c r="GQ72" s="230"/>
      <c r="GR72" s="230"/>
      <c r="GS72" s="230"/>
      <c r="GT72" s="230"/>
      <c r="GU72" s="230"/>
      <c r="GV72" s="230"/>
      <c r="GW72" s="230"/>
      <c r="GX72" s="230"/>
      <c r="GY72" s="230"/>
      <c r="GZ72" s="230"/>
      <c r="HA72" s="230"/>
      <c r="HB72" s="230"/>
      <c r="HC72" s="230"/>
      <c r="HD72" s="230"/>
      <c r="HE72" s="230"/>
      <c r="HF72" s="230"/>
      <c r="HG72" s="230"/>
      <c r="HH72" s="230"/>
      <c r="HI72" s="230"/>
      <c r="HJ72" s="230"/>
      <c r="HK72" s="230"/>
      <c r="HL72" s="230"/>
      <c r="HM72" s="230"/>
      <c r="HN72" s="230"/>
      <c r="HO72" s="230"/>
      <c r="HP72" s="230"/>
      <c r="HQ72" s="230"/>
      <c r="HR72" s="230"/>
      <c r="HS72" s="230"/>
      <c r="HT72" s="230"/>
      <c r="HU72" s="230"/>
      <c r="HV72" s="230"/>
      <c r="HW72" s="230"/>
      <c r="HX72" s="230"/>
      <c r="HY72" s="230"/>
      <c r="HZ72" s="230"/>
      <c r="IA72" s="230"/>
      <c r="IB72" s="230"/>
      <c r="IC72" s="230"/>
      <c r="ID72" s="230"/>
      <c r="IE72" s="230"/>
      <c r="IF72" s="230"/>
      <c r="IG72" s="230"/>
      <c r="IH72" s="230"/>
      <c r="II72" s="230"/>
      <c r="IJ72" s="230"/>
      <c r="IK72" s="230"/>
      <c r="IL72" s="230"/>
      <c r="IM72" s="230"/>
    </row>
    <row r="73" spans="1:248" s="73" customFormat="1" ht="29.25" customHeight="1">
      <c r="A73" s="234" t="s">
        <v>1588</v>
      </c>
      <c r="B73" s="198">
        <f>B71</f>
        <v>225070.06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230"/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0"/>
      <c r="DZ73" s="230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0"/>
      <c r="EM73" s="230"/>
      <c r="EN73" s="230"/>
      <c r="EO73" s="230"/>
      <c r="EP73" s="230"/>
      <c r="EQ73" s="230"/>
      <c r="ER73" s="230"/>
      <c r="ES73" s="230"/>
      <c r="ET73" s="230"/>
      <c r="EU73" s="230"/>
      <c r="EV73" s="230"/>
      <c r="EW73" s="230"/>
      <c r="EX73" s="230"/>
      <c r="EY73" s="230"/>
      <c r="EZ73" s="230"/>
      <c r="FA73" s="230"/>
      <c r="FB73" s="230"/>
      <c r="FC73" s="230"/>
      <c r="FD73" s="230"/>
      <c r="FE73" s="230"/>
      <c r="FF73" s="230"/>
      <c r="FG73" s="230"/>
      <c r="FH73" s="230"/>
      <c r="FI73" s="230"/>
      <c r="FJ73" s="230"/>
      <c r="FK73" s="230"/>
      <c r="FL73" s="230"/>
      <c r="FM73" s="230"/>
      <c r="FN73" s="230"/>
      <c r="FO73" s="230"/>
      <c r="FP73" s="230"/>
      <c r="FQ73" s="230"/>
      <c r="FR73" s="230"/>
      <c r="FS73" s="230"/>
      <c r="FT73" s="230"/>
      <c r="FU73" s="230"/>
      <c r="FV73" s="230"/>
      <c r="FW73" s="230"/>
      <c r="FX73" s="230"/>
      <c r="FY73" s="230"/>
      <c r="FZ73" s="230"/>
      <c r="GA73" s="230"/>
      <c r="GB73" s="230"/>
      <c r="GC73" s="230"/>
      <c r="GD73" s="230"/>
      <c r="GE73" s="230"/>
      <c r="GF73" s="230"/>
      <c r="GG73" s="230"/>
      <c r="GH73" s="230"/>
      <c r="GI73" s="230"/>
      <c r="GJ73" s="230"/>
      <c r="GK73" s="230"/>
      <c r="GL73" s="230"/>
      <c r="GM73" s="230"/>
      <c r="GN73" s="230"/>
      <c r="GO73" s="230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/>
      <c r="HC73" s="230"/>
      <c r="HD73" s="230"/>
      <c r="HE73" s="230"/>
      <c r="HF73" s="230"/>
      <c r="HG73" s="230"/>
      <c r="HH73" s="230"/>
      <c r="HI73" s="230"/>
      <c r="HJ73" s="230"/>
      <c r="HK73" s="230"/>
      <c r="HL73" s="230"/>
      <c r="HM73" s="230"/>
      <c r="HN73" s="230"/>
      <c r="HO73" s="230"/>
      <c r="HP73" s="230"/>
      <c r="HQ73" s="230"/>
      <c r="HR73" s="230"/>
      <c r="HS73" s="230"/>
      <c r="HT73" s="230"/>
      <c r="HU73" s="230"/>
      <c r="HV73" s="230"/>
      <c r="HW73" s="230"/>
      <c r="HX73" s="230"/>
      <c r="HY73" s="230"/>
      <c r="HZ73" s="230"/>
      <c r="IA73" s="230"/>
      <c r="IB73" s="230"/>
      <c r="IC73" s="230"/>
      <c r="ID73" s="230"/>
      <c r="IE73" s="230"/>
      <c r="IF73" s="230"/>
      <c r="IG73" s="230"/>
      <c r="IH73" s="230"/>
      <c r="II73" s="230"/>
      <c r="IJ73" s="230"/>
      <c r="IK73" s="230"/>
      <c r="IL73" s="230"/>
      <c r="IM73" s="230"/>
    </row>
    <row r="74" spans="1:248" s="75" customFormat="1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7"/>
      <c r="FG74" s="197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197"/>
      <c r="GB74" s="197"/>
      <c r="GC74" s="197"/>
      <c r="GD74" s="197"/>
      <c r="GE74" s="197"/>
      <c r="GF74" s="197"/>
      <c r="GG74" s="197"/>
      <c r="GH74" s="197"/>
      <c r="GI74" s="197"/>
      <c r="GJ74" s="197"/>
      <c r="GK74" s="197"/>
      <c r="GL74" s="197"/>
      <c r="GM74" s="197"/>
      <c r="GN74" s="197"/>
      <c r="GO74" s="197"/>
      <c r="GP74" s="197"/>
      <c r="GQ74" s="197"/>
      <c r="GR74" s="197"/>
      <c r="GS74" s="197"/>
      <c r="GT74" s="197"/>
      <c r="GU74" s="197"/>
      <c r="GV74" s="197"/>
      <c r="GW74" s="197"/>
      <c r="GX74" s="197"/>
      <c r="GY74" s="197"/>
      <c r="GZ74" s="197"/>
      <c r="HA74" s="197"/>
      <c r="HB74" s="197"/>
      <c r="HC74" s="197"/>
      <c r="HD74" s="197"/>
      <c r="HE74" s="197"/>
      <c r="HF74" s="197"/>
      <c r="HG74" s="197"/>
      <c r="HH74" s="197"/>
      <c r="HI74" s="197"/>
      <c r="HJ74" s="197"/>
      <c r="HK74" s="197"/>
      <c r="HL74" s="197"/>
      <c r="HM74" s="197"/>
      <c r="HN74" s="197"/>
      <c r="HO74" s="197"/>
      <c r="HP74" s="197"/>
      <c r="HQ74" s="197"/>
      <c r="HR74" s="197"/>
      <c r="HS74" s="197"/>
      <c r="HT74" s="197"/>
      <c r="HU74" s="197"/>
      <c r="HV74" s="197"/>
      <c r="HW74" s="197"/>
      <c r="HX74" s="197"/>
      <c r="HY74" s="197"/>
      <c r="HZ74" s="197"/>
      <c r="IA74" s="197"/>
      <c r="IB74" s="197"/>
      <c r="IC74" s="197"/>
      <c r="ID74" s="197"/>
      <c r="IE74" s="197"/>
      <c r="IF74" s="197"/>
      <c r="IG74" s="197"/>
      <c r="IH74" s="197"/>
      <c r="II74" s="197"/>
      <c r="IJ74" s="197"/>
      <c r="IK74" s="197"/>
      <c r="IL74" s="197"/>
      <c r="IM74" s="197"/>
    </row>
    <row r="75" spans="1:248" s="73" customFormat="1">
      <c r="A75" s="196" t="s">
        <v>1589</v>
      </c>
      <c r="B75" s="198">
        <f>B78+B79+B81+B82+B84+B85+B77</f>
        <v>196774.51570759321</v>
      </c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0"/>
      <c r="DZ75" s="230"/>
      <c r="EA75" s="230"/>
      <c r="EB75" s="230"/>
      <c r="EC75" s="230"/>
      <c r="ED75" s="230"/>
      <c r="EE75" s="230"/>
      <c r="EF75" s="230"/>
      <c r="EG75" s="230"/>
      <c r="EH75" s="230"/>
      <c r="EI75" s="230"/>
      <c r="EJ75" s="230"/>
      <c r="EK75" s="230"/>
      <c r="EL75" s="230"/>
      <c r="EM75" s="230"/>
      <c r="EN75" s="230"/>
      <c r="EO75" s="230"/>
      <c r="EP75" s="230"/>
      <c r="EQ75" s="230"/>
      <c r="ER75" s="230"/>
      <c r="ES75" s="230"/>
      <c r="ET75" s="230"/>
      <c r="EU75" s="230"/>
      <c r="EV75" s="230"/>
      <c r="EW75" s="230"/>
      <c r="EX75" s="230"/>
      <c r="EY75" s="230"/>
      <c r="EZ75" s="230"/>
      <c r="FA75" s="230"/>
      <c r="FB75" s="230"/>
      <c r="FC75" s="230"/>
      <c r="FD75" s="230"/>
      <c r="FE75" s="230"/>
      <c r="FF75" s="230"/>
      <c r="FG75" s="230"/>
      <c r="FH75" s="230"/>
      <c r="FI75" s="230"/>
      <c r="FJ75" s="230"/>
      <c r="FK75" s="230"/>
      <c r="FL75" s="230"/>
      <c r="FM75" s="230"/>
      <c r="FN75" s="230"/>
      <c r="FO75" s="230"/>
      <c r="FP75" s="230"/>
      <c r="FQ75" s="230"/>
      <c r="FR75" s="230"/>
      <c r="FS75" s="230"/>
      <c r="FT75" s="230"/>
      <c r="FU75" s="230"/>
      <c r="FV75" s="230"/>
      <c r="FW75" s="230"/>
      <c r="FX75" s="230"/>
      <c r="FY75" s="230"/>
      <c r="FZ75" s="230"/>
      <c r="GA75" s="230"/>
      <c r="GB75" s="230"/>
      <c r="GC75" s="230"/>
      <c r="GD75" s="230"/>
      <c r="GE75" s="230"/>
      <c r="GF75" s="230"/>
      <c r="GG75" s="230"/>
      <c r="GH75" s="230"/>
      <c r="GI75" s="230"/>
      <c r="GJ75" s="230"/>
      <c r="GK75" s="230"/>
      <c r="GL75" s="230"/>
      <c r="GM75" s="230"/>
      <c r="GN75" s="230"/>
      <c r="GO75" s="230"/>
      <c r="GP75" s="230"/>
      <c r="GQ75" s="230"/>
      <c r="GR75" s="230"/>
      <c r="GS75" s="230"/>
      <c r="GT75" s="230"/>
      <c r="GU75" s="230"/>
      <c r="GV75" s="230"/>
      <c r="GW75" s="230"/>
      <c r="GX75" s="230"/>
      <c r="GY75" s="230"/>
      <c r="GZ75" s="230"/>
      <c r="HA75" s="230"/>
      <c r="HB75" s="230"/>
      <c r="HC75" s="230"/>
      <c r="HD75" s="230"/>
      <c r="HE75" s="230"/>
      <c r="HF75" s="230"/>
      <c r="HG75" s="230"/>
      <c r="HH75" s="230"/>
      <c r="HI75" s="230"/>
      <c r="HJ75" s="230"/>
      <c r="HK75" s="230"/>
      <c r="HL75" s="230"/>
      <c r="HM75" s="230"/>
      <c r="HN75" s="230"/>
      <c r="HO75" s="230"/>
      <c r="HP75" s="230"/>
      <c r="HQ75" s="230"/>
      <c r="HR75" s="230"/>
      <c r="HS75" s="230"/>
      <c r="HT75" s="230"/>
      <c r="HU75" s="230"/>
      <c r="HV75" s="230"/>
      <c r="HW75" s="230"/>
      <c r="HX75" s="230"/>
      <c r="HY75" s="230"/>
      <c r="HZ75" s="230"/>
      <c r="IA75" s="230"/>
      <c r="IB75" s="230"/>
      <c r="IC75" s="230"/>
      <c r="ID75" s="230"/>
      <c r="IE75" s="230"/>
      <c r="IF75" s="230"/>
      <c r="IG75" s="230"/>
      <c r="IH75" s="230"/>
      <c r="II75" s="230"/>
      <c r="IJ75" s="230"/>
      <c r="IK75" s="230"/>
      <c r="IL75" s="230"/>
      <c r="IM75" s="230"/>
    </row>
    <row r="76" spans="1:248" s="73" customFormat="1">
      <c r="A76" s="193" t="s">
        <v>599</v>
      </c>
      <c r="B76" s="193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0"/>
      <c r="EM76" s="230"/>
      <c r="EN76" s="230"/>
      <c r="EO76" s="230"/>
      <c r="EP76" s="230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30"/>
      <c r="FD76" s="230"/>
      <c r="FE76" s="230"/>
      <c r="FF76" s="230"/>
      <c r="FG76" s="230"/>
      <c r="FH76" s="230"/>
      <c r="FI76" s="230"/>
      <c r="FJ76" s="230"/>
      <c r="FK76" s="230"/>
      <c r="FL76" s="230"/>
      <c r="FM76" s="230"/>
      <c r="FN76" s="230"/>
      <c r="FO76" s="230"/>
      <c r="FP76" s="230"/>
      <c r="FQ76" s="230"/>
      <c r="FR76" s="230"/>
      <c r="FS76" s="230"/>
      <c r="FT76" s="230"/>
      <c r="FU76" s="230"/>
      <c r="FV76" s="230"/>
      <c r="FW76" s="230"/>
      <c r="FX76" s="230"/>
      <c r="FY76" s="230"/>
      <c r="FZ76" s="230"/>
      <c r="GA76" s="230"/>
      <c r="GB76" s="230"/>
      <c r="GC76" s="230"/>
      <c r="GD76" s="230"/>
      <c r="GE76" s="230"/>
      <c r="GF76" s="230"/>
      <c r="GG76" s="230"/>
      <c r="GH76" s="230"/>
      <c r="GI76" s="230"/>
      <c r="GJ76" s="230"/>
      <c r="GK76" s="230"/>
      <c r="GL76" s="230"/>
      <c r="GM76" s="230"/>
      <c r="GN76" s="230"/>
      <c r="GO76" s="230"/>
      <c r="GP76" s="230"/>
      <c r="GQ76" s="230"/>
      <c r="GR76" s="230"/>
      <c r="GS76" s="230"/>
      <c r="GT76" s="230"/>
      <c r="GU76" s="230"/>
      <c r="GV76" s="230"/>
      <c r="GW76" s="230"/>
      <c r="GX76" s="230"/>
      <c r="GY76" s="230"/>
      <c r="GZ76" s="230"/>
      <c r="HA76" s="230"/>
      <c r="HB76" s="230"/>
      <c r="HC76" s="230"/>
      <c r="HD76" s="230"/>
      <c r="HE76" s="230"/>
      <c r="HF76" s="230"/>
      <c r="HG76" s="230"/>
      <c r="HH76" s="230"/>
      <c r="HI76" s="230"/>
      <c r="HJ76" s="230"/>
      <c r="HK76" s="230"/>
      <c r="HL76" s="230"/>
      <c r="HM76" s="230"/>
      <c r="HN76" s="230"/>
      <c r="HO76" s="230"/>
      <c r="HP76" s="230"/>
      <c r="HQ76" s="230"/>
      <c r="HR76" s="230"/>
      <c r="HS76" s="230"/>
      <c r="HT76" s="230"/>
      <c r="HU76" s="230"/>
      <c r="HV76" s="230"/>
      <c r="HW76" s="230"/>
      <c r="HX76" s="230"/>
      <c r="HY76" s="230"/>
      <c r="HZ76" s="230"/>
      <c r="IA76" s="230"/>
      <c r="IB76" s="230"/>
      <c r="IC76" s="230"/>
      <c r="ID76" s="230"/>
      <c r="IE76" s="230"/>
      <c r="IF76" s="230"/>
      <c r="IG76" s="230"/>
      <c r="IH76" s="230"/>
      <c r="II76" s="230"/>
      <c r="IJ76" s="230"/>
      <c r="IK76" s="230"/>
      <c r="IL76" s="230"/>
      <c r="IM76" s="230"/>
    </row>
    <row r="77" spans="1:248" s="73" customFormat="1">
      <c r="A77" s="193" t="s">
        <v>803</v>
      </c>
      <c r="B77" s="193">
        <f>15307.2*1.7</f>
        <v>26022.240000000002</v>
      </c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  <c r="CM77" s="230"/>
      <c r="CN77" s="230"/>
      <c r="CO77" s="230"/>
      <c r="CP77" s="230"/>
      <c r="CQ77" s="230"/>
      <c r="CR77" s="230"/>
      <c r="CS77" s="230"/>
      <c r="CT77" s="230"/>
      <c r="CU77" s="230"/>
      <c r="CV77" s="230"/>
      <c r="CW77" s="230"/>
      <c r="CX77" s="230"/>
      <c r="CY77" s="230"/>
      <c r="CZ77" s="230"/>
      <c r="DA77" s="230"/>
      <c r="DB77" s="230"/>
      <c r="DC77" s="230"/>
      <c r="DD77" s="230"/>
      <c r="DE77" s="230"/>
      <c r="DF77" s="230"/>
      <c r="DG77" s="230"/>
      <c r="DH77" s="230"/>
      <c r="DI77" s="230"/>
      <c r="DJ77" s="230"/>
      <c r="DK77" s="230"/>
      <c r="DL77" s="230"/>
      <c r="DM77" s="230"/>
      <c r="DN77" s="230"/>
      <c r="DO77" s="230"/>
      <c r="DP77" s="230"/>
      <c r="DQ77" s="230"/>
      <c r="DR77" s="230"/>
      <c r="DS77" s="230"/>
      <c r="DT77" s="230"/>
      <c r="DU77" s="230"/>
      <c r="DV77" s="230"/>
      <c r="DW77" s="230"/>
      <c r="DX77" s="230"/>
      <c r="DY77" s="230"/>
      <c r="DZ77" s="230"/>
      <c r="EA77" s="230"/>
      <c r="EB77" s="230"/>
      <c r="EC77" s="230"/>
      <c r="ED77" s="230"/>
      <c r="EE77" s="230"/>
      <c r="EF77" s="230"/>
      <c r="EG77" s="230"/>
      <c r="EH77" s="230"/>
      <c r="EI77" s="230"/>
      <c r="EJ77" s="230"/>
      <c r="EK77" s="230"/>
      <c r="EL77" s="230"/>
      <c r="EM77" s="230"/>
      <c r="EN77" s="230"/>
      <c r="EO77" s="230"/>
      <c r="EP77" s="230"/>
      <c r="EQ77" s="230"/>
      <c r="ER77" s="230"/>
      <c r="ES77" s="230"/>
      <c r="ET77" s="230"/>
      <c r="EU77" s="230"/>
      <c r="EV77" s="230"/>
      <c r="EW77" s="230"/>
      <c r="EX77" s="230"/>
      <c r="EY77" s="230"/>
      <c r="EZ77" s="230"/>
      <c r="FA77" s="230"/>
      <c r="FB77" s="230"/>
      <c r="FC77" s="230"/>
      <c r="FD77" s="230"/>
      <c r="FE77" s="230"/>
      <c r="FF77" s="230"/>
      <c r="FG77" s="230"/>
      <c r="FH77" s="230"/>
      <c r="FI77" s="230"/>
      <c r="FJ77" s="230"/>
      <c r="FK77" s="230"/>
      <c r="FL77" s="230"/>
      <c r="FM77" s="230"/>
      <c r="FN77" s="230"/>
      <c r="FO77" s="230"/>
      <c r="FP77" s="230"/>
      <c r="FQ77" s="230"/>
      <c r="FR77" s="230"/>
      <c r="FS77" s="230"/>
      <c r="FT77" s="230"/>
      <c r="FU77" s="230"/>
      <c r="FV77" s="230"/>
      <c r="FW77" s="230"/>
      <c r="FX77" s="230"/>
      <c r="FY77" s="230"/>
      <c r="FZ77" s="230"/>
      <c r="GA77" s="230"/>
      <c r="GB77" s="230"/>
      <c r="GC77" s="230"/>
      <c r="GD77" s="230"/>
      <c r="GE77" s="230"/>
      <c r="GF77" s="230"/>
      <c r="GG77" s="230"/>
      <c r="GH77" s="230"/>
      <c r="GI77" s="230"/>
      <c r="GJ77" s="230"/>
      <c r="GK77" s="230"/>
      <c r="GL77" s="230"/>
      <c r="GM77" s="230"/>
      <c r="GN77" s="230"/>
      <c r="GO77" s="230"/>
      <c r="GP77" s="230"/>
      <c r="GQ77" s="230"/>
      <c r="GR77" s="230"/>
      <c r="GS77" s="230"/>
      <c r="GT77" s="230"/>
      <c r="GU77" s="230"/>
      <c r="GV77" s="230"/>
      <c r="GW77" s="230"/>
      <c r="GX77" s="230"/>
      <c r="GY77" s="230"/>
      <c r="GZ77" s="230"/>
      <c r="HA77" s="230"/>
      <c r="HB77" s="230"/>
      <c r="HC77" s="230"/>
      <c r="HD77" s="230"/>
      <c r="HE77" s="230"/>
      <c r="HF77" s="230"/>
      <c r="HG77" s="230"/>
      <c r="HH77" s="230"/>
      <c r="HI77" s="230"/>
      <c r="HJ77" s="230"/>
      <c r="HK77" s="230"/>
      <c r="HL77" s="230"/>
      <c r="HM77" s="230"/>
      <c r="HN77" s="230"/>
      <c r="HO77" s="230"/>
      <c r="HP77" s="230"/>
      <c r="HQ77" s="230"/>
      <c r="HR77" s="230"/>
      <c r="HS77" s="230"/>
      <c r="HT77" s="230"/>
      <c r="HU77" s="230"/>
      <c r="HV77" s="230"/>
      <c r="HW77" s="230"/>
      <c r="HX77" s="230"/>
      <c r="HY77" s="230"/>
      <c r="HZ77" s="230"/>
      <c r="IA77" s="230"/>
      <c r="IB77" s="230"/>
      <c r="IC77" s="230"/>
      <c r="ID77" s="230"/>
      <c r="IE77" s="230"/>
      <c r="IF77" s="230"/>
      <c r="IG77" s="230"/>
      <c r="IH77" s="230"/>
      <c r="II77" s="230"/>
      <c r="IJ77" s="230"/>
      <c r="IK77" s="230"/>
      <c r="IL77" s="230"/>
      <c r="IM77" s="230"/>
    </row>
    <row r="78" spans="1:248" s="73" customFormat="1">
      <c r="A78" s="193" t="s">
        <v>521</v>
      </c>
      <c r="B78" s="194">
        <f>959300/45797.5*B66*1.7</f>
        <v>44725.091107593209</v>
      </c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/>
      <c r="CL78" s="230"/>
      <c r="CM78" s="230"/>
      <c r="CN78" s="230"/>
      <c r="CO78" s="230"/>
      <c r="CP78" s="230"/>
      <c r="CQ78" s="230"/>
      <c r="CR78" s="230"/>
      <c r="CS78" s="230"/>
      <c r="CT78" s="230"/>
      <c r="CU78" s="230"/>
      <c r="CV78" s="230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H78" s="230"/>
      <c r="DI78" s="230"/>
      <c r="DJ78" s="230"/>
      <c r="DK78" s="230"/>
      <c r="DL78" s="230"/>
      <c r="DM78" s="230"/>
      <c r="DN78" s="230"/>
      <c r="DO78" s="230"/>
      <c r="DP78" s="230"/>
      <c r="DQ78" s="230"/>
      <c r="DR78" s="230"/>
      <c r="DS78" s="230"/>
      <c r="DT78" s="230"/>
      <c r="DU78" s="230"/>
      <c r="DV78" s="230"/>
      <c r="DW78" s="230"/>
      <c r="DX78" s="230"/>
      <c r="DY78" s="230"/>
      <c r="DZ78" s="230"/>
      <c r="EA78" s="230"/>
      <c r="EB78" s="230"/>
      <c r="EC78" s="230"/>
      <c r="ED78" s="230"/>
      <c r="EE78" s="230"/>
      <c r="EF78" s="230"/>
      <c r="EG78" s="230"/>
      <c r="EH78" s="230"/>
      <c r="EI78" s="230"/>
      <c r="EJ78" s="230"/>
      <c r="EK78" s="230"/>
      <c r="EL78" s="230"/>
      <c r="EM78" s="230"/>
      <c r="EN78" s="230"/>
      <c r="EO78" s="230"/>
      <c r="EP78" s="230"/>
      <c r="EQ78" s="230"/>
      <c r="ER78" s="230"/>
      <c r="ES78" s="230"/>
      <c r="ET78" s="230"/>
      <c r="EU78" s="230"/>
      <c r="EV78" s="230"/>
      <c r="EW78" s="230"/>
      <c r="EX78" s="230"/>
      <c r="EY78" s="230"/>
      <c r="EZ78" s="230"/>
      <c r="FA78" s="230"/>
      <c r="FB78" s="230"/>
      <c r="FC78" s="230"/>
      <c r="FD78" s="230"/>
      <c r="FE78" s="230"/>
      <c r="FF78" s="230"/>
      <c r="FG78" s="230"/>
      <c r="FH78" s="230"/>
      <c r="FI78" s="230"/>
      <c r="FJ78" s="230"/>
      <c r="FK78" s="230"/>
      <c r="FL78" s="230"/>
      <c r="FM78" s="230"/>
      <c r="FN78" s="230"/>
      <c r="FO78" s="230"/>
      <c r="FP78" s="230"/>
      <c r="FQ78" s="230"/>
      <c r="FR78" s="230"/>
      <c r="FS78" s="230"/>
      <c r="FT78" s="230"/>
      <c r="FU78" s="230"/>
      <c r="FV78" s="230"/>
      <c r="FW78" s="230"/>
      <c r="FX78" s="230"/>
      <c r="FY78" s="230"/>
      <c r="FZ78" s="230"/>
      <c r="GA78" s="230"/>
      <c r="GB78" s="230"/>
      <c r="GC78" s="230"/>
      <c r="GD78" s="230"/>
      <c r="GE78" s="230"/>
      <c r="GF78" s="230"/>
      <c r="GG78" s="230"/>
      <c r="GH78" s="230"/>
      <c r="GI78" s="230"/>
      <c r="GJ78" s="230"/>
      <c r="GK78" s="230"/>
      <c r="GL78" s="230"/>
      <c r="GM78" s="230"/>
      <c r="GN78" s="230"/>
      <c r="GO78" s="230"/>
      <c r="GP78" s="230"/>
      <c r="GQ78" s="230"/>
      <c r="GR78" s="230"/>
      <c r="GS78" s="230"/>
      <c r="GT78" s="230"/>
      <c r="GU78" s="230"/>
      <c r="GV78" s="230"/>
      <c r="GW78" s="230"/>
      <c r="GX78" s="230"/>
      <c r="GY78" s="230"/>
      <c r="GZ78" s="230"/>
      <c r="HA78" s="230"/>
      <c r="HB78" s="230"/>
      <c r="HC78" s="230"/>
      <c r="HD78" s="230"/>
      <c r="HE78" s="230"/>
      <c r="HF78" s="230"/>
      <c r="HG78" s="230"/>
      <c r="HH78" s="230"/>
      <c r="HI78" s="230"/>
      <c r="HJ78" s="230"/>
      <c r="HK78" s="230"/>
      <c r="HL78" s="230"/>
      <c r="HM78" s="230"/>
      <c r="HN78" s="230"/>
      <c r="HO78" s="230"/>
      <c r="HP78" s="230"/>
      <c r="HQ78" s="230"/>
      <c r="HR78" s="230"/>
      <c r="HS78" s="230"/>
      <c r="HT78" s="230"/>
      <c r="HU78" s="230"/>
      <c r="HV78" s="230"/>
      <c r="HW78" s="230"/>
      <c r="HX78" s="230"/>
      <c r="HY78" s="230"/>
      <c r="HZ78" s="230"/>
      <c r="IA78" s="230"/>
      <c r="IB78" s="230"/>
      <c r="IC78" s="230"/>
      <c r="ID78" s="230"/>
      <c r="IE78" s="230"/>
      <c r="IF78" s="230"/>
      <c r="IG78" s="230"/>
      <c r="IH78" s="230"/>
      <c r="II78" s="230"/>
      <c r="IJ78" s="230"/>
      <c r="IK78" s="230"/>
      <c r="IL78" s="230"/>
      <c r="IM78" s="230"/>
    </row>
    <row r="79" spans="1:248" s="73" customFormat="1">
      <c r="A79" s="193" t="s">
        <v>520</v>
      </c>
      <c r="B79" s="194">
        <f>0.89*B66*12*1.7</f>
        <v>22803.935999999998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0"/>
      <c r="CH79" s="230"/>
      <c r="CI79" s="230"/>
      <c r="CJ79" s="230"/>
      <c r="CK79" s="230"/>
      <c r="CL79" s="230"/>
      <c r="CM79" s="230"/>
      <c r="CN79" s="230"/>
      <c r="CO79" s="230"/>
      <c r="CP79" s="230"/>
      <c r="CQ79" s="230"/>
      <c r="CR79" s="230"/>
      <c r="CS79" s="230"/>
      <c r="CT79" s="230"/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0"/>
      <c r="DI79" s="230"/>
      <c r="DJ79" s="230"/>
      <c r="DK79" s="230"/>
      <c r="DL79" s="230"/>
      <c r="DM79" s="230"/>
      <c r="DN79" s="230"/>
      <c r="DO79" s="230"/>
      <c r="DP79" s="230"/>
      <c r="DQ79" s="230"/>
      <c r="DR79" s="230"/>
      <c r="DS79" s="230"/>
      <c r="DT79" s="230"/>
      <c r="DU79" s="230"/>
      <c r="DV79" s="230"/>
      <c r="DW79" s="230"/>
      <c r="DX79" s="230"/>
      <c r="DY79" s="230"/>
      <c r="DZ79" s="230"/>
      <c r="EA79" s="230"/>
      <c r="EB79" s="230"/>
      <c r="EC79" s="230"/>
      <c r="ED79" s="230"/>
      <c r="EE79" s="230"/>
      <c r="EF79" s="230"/>
      <c r="EG79" s="230"/>
      <c r="EH79" s="230"/>
      <c r="EI79" s="230"/>
      <c r="EJ79" s="230"/>
      <c r="EK79" s="230"/>
      <c r="EL79" s="230"/>
      <c r="EM79" s="230"/>
      <c r="EN79" s="230"/>
      <c r="EO79" s="230"/>
      <c r="EP79" s="230"/>
      <c r="EQ79" s="230"/>
      <c r="ER79" s="230"/>
      <c r="ES79" s="230"/>
      <c r="ET79" s="230"/>
      <c r="EU79" s="230"/>
      <c r="EV79" s="230"/>
      <c r="EW79" s="230"/>
      <c r="EX79" s="230"/>
      <c r="EY79" s="230"/>
      <c r="EZ79" s="230"/>
      <c r="FA79" s="230"/>
      <c r="FB79" s="230"/>
      <c r="FC79" s="230"/>
      <c r="FD79" s="230"/>
      <c r="FE79" s="230"/>
      <c r="FF79" s="230"/>
      <c r="FG79" s="230"/>
      <c r="FH79" s="230"/>
      <c r="FI79" s="230"/>
      <c r="FJ79" s="230"/>
      <c r="FK79" s="230"/>
      <c r="FL79" s="230"/>
      <c r="FM79" s="230"/>
      <c r="FN79" s="230"/>
      <c r="FO79" s="230"/>
      <c r="FP79" s="230"/>
      <c r="FQ79" s="230"/>
      <c r="FR79" s="230"/>
      <c r="FS79" s="230"/>
      <c r="FT79" s="230"/>
      <c r="FU79" s="230"/>
      <c r="FV79" s="230"/>
      <c r="FW79" s="230"/>
      <c r="FX79" s="230"/>
      <c r="FY79" s="230"/>
      <c r="FZ79" s="230"/>
      <c r="GA79" s="230"/>
      <c r="GB79" s="230"/>
      <c r="GC79" s="230"/>
      <c r="GD79" s="230"/>
      <c r="GE79" s="230"/>
      <c r="GF79" s="230"/>
      <c r="GG79" s="230"/>
      <c r="GH79" s="230"/>
      <c r="GI79" s="230"/>
      <c r="GJ79" s="230"/>
      <c r="GK79" s="230"/>
      <c r="GL79" s="230"/>
      <c r="GM79" s="230"/>
      <c r="GN79" s="230"/>
      <c r="GO79" s="230"/>
      <c r="GP79" s="230"/>
      <c r="GQ79" s="230"/>
      <c r="GR79" s="230"/>
      <c r="GS79" s="230"/>
      <c r="GT79" s="230"/>
      <c r="GU79" s="230"/>
      <c r="GV79" s="230"/>
      <c r="GW79" s="230"/>
      <c r="GX79" s="230"/>
      <c r="GY79" s="230"/>
      <c r="GZ79" s="230"/>
      <c r="HA79" s="230"/>
      <c r="HB79" s="230"/>
      <c r="HC79" s="230"/>
      <c r="HD79" s="230"/>
      <c r="HE79" s="230"/>
      <c r="HF79" s="230"/>
      <c r="HG79" s="230"/>
      <c r="HH79" s="230"/>
      <c r="HI79" s="230"/>
      <c r="HJ79" s="230"/>
      <c r="HK79" s="230"/>
      <c r="HL79" s="230"/>
      <c r="HM79" s="230"/>
      <c r="HN79" s="230"/>
      <c r="HO79" s="230"/>
      <c r="HP79" s="230"/>
      <c r="HQ79" s="230"/>
      <c r="HR79" s="230"/>
      <c r="HS79" s="230"/>
      <c r="HT79" s="230"/>
      <c r="HU79" s="230"/>
      <c r="HV79" s="230"/>
      <c r="HW79" s="230"/>
      <c r="HX79" s="230"/>
      <c r="HY79" s="230"/>
      <c r="HZ79" s="230"/>
      <c r="IA79" s="230"/>
      <c r="IB79" s="230"/>
      <c r="IC79" s="230"/>
      <c r="ID79" s="230"/>
      <c r="IE79" s="230"/>
      <c r="IF79" s="230"/>
      <c r="IG79" s="230"/>
      <c r="IH79" s="230"/>
      <c r="II79" s="230"/>
      <c r="IJ79" s="230"/>
      <c r="IK79" s="230"/>
      <c r="IL79" s="230"/>
      <c r="IM79" s="230"/>
    </row>
    <row r="80" spans="1:248" s="73" customFormat="1">
      <c r="A80" s="193" t="s">
        <v>1592</v>
      </c>
      <c r="B80" s="194">
        <f>1800*3*1.7</f>
        <v>9180</v>
      </c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H80" s="230"/>
      <c r="DI80" s="230"/>
      <c r="DJ80" s="230"/>
      <c r="DK80" s="230"/>
      <c r="DL80" s="230"/>
      <c r="DM80" s="230"/>
      <c r="DN80" s="230"/>
      <c r="DO80" s="230"/>
      <c r="DP80" s="230"/>
      <c r="DQ80" s="230"/>
      <c r="DR80" s="230"/>
      <c r="DS80" s="230"/>
      <c r="DT80" s="230"/>
      <c r="DU80" s="230"/>
      <c r="DV80" s="230"/>
      <c r="DW80" s="230"/>
      <c r="DX80" s="230"/>
      <c r="DY80" s="230"/>
      <c r="DZ80" s="230"/>
      <c r="EA80" s="230"/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0"/>
      <c r="EP80" s="230"/>
      <c r="EQ80" s="230"/>
      <c r="ER80" s="230"/>
      <c r="ES80" s="230"/>
      <c r="ET80" s="230"/>
      <c r="EU80" s="230"/>
      <c r="EV80" s="230"/>
      <c r="EW80" s="230"/>
      <c r="EX80" s="230"/>
      <c r="EY80" s="230"/>
      <c r="EZ80" s="230"/>
      <c r="FA80" s="230"/>
      <c r="FB80" s="230"/>
      <c r="FC80" s="230"/>
      <c r="FD80" s="230"/>
      <c r="FE80" s="230"/>
      <c r="FF80" s="230"/>
      <c r="FG80" s="230"/>
      <c r="FH80" s="230"/>
      <c r="FI80" s="230"/>
      <c r="FJ80" s="230"/>
      <c r="FK80" s="230"/>
      <c r="FL80" s="230"/>
      <c r="FM80" s="230"/>
      <c r="FN80" s="230"/>
      <c r="FO80" s="230"/>
      <c r="FP80" s="230"/>
      <c r="FQ80" s="230"/>
      <c r="FR80" s="230"/>
      <c r="FS80" s="230"/>
      <c r="FT80" s="230"/>
      <c r="FU80" s="230"/>
      <c r="FV80" s="230"/>
      <c r="FW80" s="230"/>
      <c r="FX80" s="230"/>
      <c r="FY80" s="230"/>
      <c r="FZ80" s="230"/>
      <c r="GA80" s="230"/>
      <c r="GB80" s="230"/>
      <c r="GC80" s="230"/>
      <c r="GD80" s="230"/>
      <c r="GE80" s="230"/>
      <c r="GF80" s="230"/>
      <c r="GG80" s="230"/>
      <c r="GH80" s="230"/>
      <c r="GI80" s="230"/>
      <c r="GJ80" s="230"/>
      <c r="GK80" s="230"/>
      <c r="GL80" s="230"/>
      <c r="GM80" s="230"/>
      <c r="GN80" s="230"/>
      <c r="GO80" s="230"/>
      <c r="GP80" s="230"/>
      <c r="GQ80" s="230"/>
      <c r="GR80" s="230"/>
      <c r="GS80" s="230"/>
      <c r="GT80" s="230"/>
      <c r="GU80" s="230"/>
      <c r="GV80" s="230"/>
      <c r="GW80" s="230"/>
      <c r="GX80" s="230"/>
      <c r="GY80" s="230"/>
      <c r="GZ80" s="230"/>
      <c r="HA80" s="230"/>
      <c r="HB80" s="230"/>
      <c r="HC80" s="230"/>
      <c r="HD80" s="230"/>
      <c r="HE80" s="230"/>
      <c r="HF80" s="230"/>
      <c r="HG80" s="230"/>
      <c r="HH80" s="230"/>
      <c r="HI80" s="230"/>
      <c r="HJ80" s="230"/>
      <c r="HK80" s="230"/>
      <c r="HL80" s="230"/>
      <c r="HM80" s="230"/>
      <c r="HN80" s="230"/>
      <c r="HO80" s="230"/>
      <c r="HP80" s="230"/>
      <c r="HQ80" s="230"/>
      <c r="HR80" s="230"/>
      <c r="HS80" s="230"/>
      <c r="HT80" s="230"/>
      <c r="HU80" s="230"/>
      <c r="HV80" s="230"/>
      <c r="HW80" s="230"/>
      <c r="HX80" s="230"/>
      <c r="HY80" s="230"/>
      <c r="HZ80" s="230"/>
      <c r="IA80" s="230"/>
      <c r="IB80" s="230"/>
      <c r="IC80" s="230"/>
      <c r="ID80" s="230"/>
      <c r="IE80" s="230"/>
      <c r="IF80" s="230"/>
      <c r="IG80" s="230"/>
      <c r="IH80" s="230"/>
      <c r="II80" s="230"/>
      <c r="IJ80" s="230"/>
      <c r="IK80" s="230"/>
      <c r="IL80" s="230"/>
      <c r="IM80" s="230"/>
    </row>
    <row r="81" spans="1:247" s="73" customFormat="1">
      <c r="A81" s="193" t="s">
        <v>600</v>
      </c>
      <c r="B81" s="194">
        <f>50*70*1.7</f>
        <v>5950</v>
      </c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30"/>
      <c r="CO81" s="230"/>
      <c r="CP81" s="230"/>
      <c r="CQ81" s="230"/>
      <c r="CR81" s="230"/>
      <c r="CS81" s="230"/>
      <c r="CT81" s="230"/>
      <c r="CU81" s="230"/>
      <c r="CV81" s="230"/>
      <c r="CW81" s="230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H81" s="230"/>
      <c r="DI81" s="230"/>
      <c r="DJ81" s="230"/>
      <c r="DK81" s="230"/>
      <c r="DL81" s="230"/>
      <c r="DM81" s="230"/>
      <c r="DN81" s="230"/>
      <c r="DO81" s="230"/>
      <c r="DP81" s="230"/>
      <c r="DQ81" s="230"/>
      <c r="DR81" s="230"/>
      <c r="DS81" s="230"/>
      <c r="DT81" s="230"/>
      <c r="DU81" s="230"/>
      <c r="DV81" s="230"/>
      <c r="DW81" s="230"/>
      <c r="DX81" s="230"/>
      <c r="DY81" s="230"/>
      <c r="DZ81" s="230"/>
      <c r="EA81" s="230"/>
      <c r="EB81" s="230"/>
      <c r="EC81" s="230"/>
      <c r="ED81" s="230"/>
      <c r="EE81" s="230"/>
      <c r="EF81" s="230"/>
      <c r="EG81" s="230"/>
      <c r="EH81" s="230"/>
      <c r="EI81" s="230"/>
      <c r="EJ81" s="230"/>
      <c r="EK81" s="230"/>
      <c r="EL81" s="230"/>
      <c r="EM81" s="230"/>
      <c r="EN81" s="230"/>
      <c r="EO81" s="230"/>
      <c r="EP81" s="230"/>
      <c r="EQ81" s="230"/>
      <c r="ER81" s="230"/>
      <c r="ES81" s="230"/>
      <c r="ET81" s="230"/>
      <c r="EU81" s="230"/>
      <c r="EV81" s="230"/>
      <c r="EW81" s="230"/>
      <c r="EX81" s="230"/>
      <c r="EY81" s="230"/>
      <c r="EZ81" s="230"/>
      <c r="FA81" s="230"/>
      <c r="FB81" s="230"/>
      <c r="FC81" s="230"/>
      <c r="FD81" s="230"/>
      <c r="FE81" s="230"/>
      <c r="FF81" s="230"/>
      <c r="FG81" s="230"/>
      <c r="FH81" s="230"/>
      <c r="FI81" s="230"/>
      <c r="FJ81" s="230"/>
      <c r="FK81" s="230"/>
      <c r="FL81" s="230"/>
      <c r="FM81" s="230"/>
      <c r="FN81" s="230"/>
      <c r="FO81" s="230"/>
      <c r="FP81" s="230"/>
      <c r="FQ81" s="230"/>
      <c r="FR81" s="230"/>
      <c r="FS81" s="230"/>
      <c r="FT81" s="230"/>
      <c r="FU81" s="230"/>
      <c r="FV81" s="230"/>
      <c r="FW81" s="230"/>
      <c r="FX81" s="230"/>
      <c r="FY81" s="230"/>
      <c r="FZ81" s="230"/>
      <c r="GA81" s="230"/>
      <c r="GB81" s="230"/>
      <c r="GC81" s="230"/>
      <c r="GD81" s="230"/>
      <c r="GE81" s="230"/>
      <c r="GF81" s="230"/>
      <c r="GG81" s="230"/>
      <c r="GH81" s="230"/>
      <c r="GI81" s="230"/>
      <c r="GJ81" s="230"/>
      <c r="GK81" s="230"/>
      <c r="GL81" s="230"/>
      <c r="GM81" s="230"/>
      <c r="GN81" s="230"/>
      <c r="GO81" s="230"/>
      <c r="GP81" s="230"/>
      <c r="GQ81" s="230"/>
      <c r="GR81" s="230"/>
      <c r="GS81" s="230"/>
      <c r="GT81" s="230"/>
      <c r="GU81" s="230"/>
      <c r="GV81" s="230"/>
      <c r="GW81" s="230"/>
      <c r="GX81" s="230"/>
      <c r="GY81" s="230"/>
      <c r="GZ81" s="230"/>
      <c r="HA81" s="230"/>
      <c r="HB81" s="230"/>
      <c r="HC81" s="230"/>
      <c r="HD81" s="230"/>
      <c r="HE81" s="230"/>
      <c r="HF81" s="230"/>
      <c r="HG81" s="230"/>
      <c r="HH81" s="230"/>
      <c r="HI81" s="230"/>
      <c r="HJ81" s="230"/>
      <c r="HK81" s="230"/>
      <c r="HL81" s="230"/>
      <c r="HM81" s="230"/>
      <c r="HN81" s="230"/>
      <c r="HO81" s="230"/>
      <c r="HP81" s="230"/>
      <c r="HQ81" s="230"/>
      <c r="HR81" s="230"/>
      <c r="HS81" s="230"/>
      <c r="HT81" s="230"/>
      <c r="HU81" s="230"/>
      <c r="HV81" s="230"/>
      <c r="HW81" s="230"/>
      <c r="HX81" s="230"/>
      <c r="HY81" s="230"/>
      <c r="HZ81" s="230"/>
      <c r="IA81" s="230"/>
      <c r="IB81" s="230"/>
      <c r="IC81" s="230"/>
      <c r="ID81" s="230"/>
      <c r="IE81" s="230"/>
      <c r="IF81" s="230"/>
      <c r="IG81" s="230"/>
      <c r="IH81" s="230"/>
      <c r="II81" s="230"/>
      <c r="IJ81" s="230"/>
      <c r="IK81" s="230"/>
      <c r="IL81" s="230"/>
      <c r="IM81" s="230"/>
    </row>
    <row r="82" spans="1:247" s="73" customFormat="1">
      <c r="A82" s="193" t="s">
        <v>611</v>
      </c>
      <c r="B82" s="194">
        <f>0.02*9100*12*1.302*1.7</f>
        <v>4834.0655999999999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  <c r="FH82" s="230"/>
      <c r="FI82" s="230"/>
      <c r="FJ82" s="230"/>
      <c r="FK82" s="230"/>
      <c r="FL82" s="230"/>
      <c r="FM82" s="230"/>
      <c r="FN82" s="230"/>
      <c r="FO82" s="230"/>
      <c r="FP82" s="230"/>
      <c r="FQ82" s="230"/>
      <c r="FR82" s="230"/>
      <c r="FS82" s="230"/>
      <c r="FT82" s="230"/>
      <c r="FU82" s="230"/>
      <c r="FV82" s="230"/>
      <c r="FW82" s="230"/>
      <c r="FX82" s="230"/>
      <c r="FY82" s="230"/>
      <c r="FZ82" s="230"/>
      <c r="GA82" s="230"/>
      <c r="GB82" s="230"/>
      <c r="GC82" s="230"/>
      <c r="GD82" s="230"/>
      <c r="GE82" s="230"/>
      <c r="GF82" s="230"/>
      <c r="GG82" s="230"/>
      <c r="GH82" s="230"/>
      <c r="GI82" s="230"/>
      <c r="GJ82" s="230"/>
      <c r="GK82" s="230"/>
      <c r="GL82" s="230"/>
      <c r="GM82" s="230"/>
      <c r="GN82" s="230"/>
      <c r="GO82" s="230"/>
      <c r="GP82" s="230"/>
      <c r="GQ82" s="230"/>
      <c r="GR82" s="230"/>
      <c r="GS82" s="230"/>
      <c r="GT82" s="230"/>
      <c r="GU82" s="230"/>
      <c r="GV82" s="230"/>
      <c r="GW82" s="230"/>
      <c r="GX82" s="230"/>
      <c r="GY82" s="230"/>
      <c r="GZ82" s="230"/>
      <c r="HA82" s="230"/>
      <c r="HB82" s="230"/>
      <c r="HC82" s="230"/>
      <c r="HD82" s="230"/>
      <c r="HE82" s="230"/>
      <c r="HF82" s="230"/>
      <c r="HG82" s="230"/>
      <c r="HH82" s="230"/>
      <c r="HI82" s="230"/>
      <c r="HJ82" s="230"/>
      <c r="HK82" s="230"/>
      <c r="HL82" s="230"/>
      <c r="HM82" s="230"/>
      <c r="HN82" s="230"/>
      <c r="HO82" s="230"/>
      <c r="HP82" s="230"/>
      <c r="HQ82" s="230"/>
      <c r="HR82" s="230"/>
      <c r="HS82" s="230"/>
      <c r="HT82" s="230"/>
      <c r="HU82" s="230"/>
      <c r="HV82" s="230"/>
      <c r="HW82" s="230"/>
      <c r="HX82" s="230"/>
      <c r="HY82" s="230"/>
      <c r="HZ82" s="230"/>
      <c r="IA82" s="230"/>
      <c r="IB82" s="230"/>
      <c r="IC82" s="230"/>
      <c r="ID82" s="230"/>
      <c r="IE82" s="230"/>
      <c r="IF82" s="230"/>
      <c r="IG82" s="230"/>
      <c r="IH82" s="230"/>
      <c r="II82" s="230"/>
      <c r="IJ82" s="230"/>
      <c r="IK82" s="230"/>
      <c r="IL82" s="230"/>
      <c r="IM82" s="230"/>
    </row>
    <row r="83" spans="1:247" s="73" customFormat="1">
      <c r="A83" s="193" t="s">
        <v>602</v>
      </c>
      <c r="B83" s="231">
        <f>B63</f>
        <v>201</v>
      </c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30"/>
      <c r="CO83" s="230"/>
      <c r="CP83" s="230"/>
      <c r="CQ83" s="230"/>
      <c r="CR83" s="230"/>
      <c r="CS83" s="230"/>
      <c r="CT83" s="230"/>
      <c r="CU83" s="230"/>
      <c r="CV83" s="230"/>
      <c r="CW83" s="230"/>
      <c r="CX83" s="230"/>
      <c r="CY83" s="230"/>
      <c r="CZ83" s="230"/>
      <c r="DA83" s="230"/>
      <c r="DB83" s="230"/>
      <c r="DC83" s="230"/>
      <c r="DD83" s="230"/>
      <c r="DE83" s="230"/>
      <c r="DF83" s="230"/>
      <c r="DG83" s="230"/>
      <c r="DH83" s="230"/>
      <c r="DI83" s="230"/>
      <c r="DJ83" s="230"/>
      <c r="DK83" s="230"/>
      <c r="DL83" s="230"/>
      <c r="DM83" s="230"/>
      <c r="DN83" s="230"/>
      <c r="DO83" s="230"/>
      <c r="DP83" s="230"/>
      <c r="DQ83" s="230"/>
      <c r="DR83" s="230"/>
      <c r="DS83" s="230"/>
      <c r="DT83" s="230"/>
      <c r="DU83" s="230"/>
      <c r="DV83" s="230"/>
      <c r="DW83" s="230"/>
      <c r="DX83" s="230"/>
      <c r="DY83" s="230"/>
      <c r="DZ83" s="230"/>
      <c r="EA83" s="230"/>
      <c r="EB83" s="230"/>
      <c r="EC83" s="230"/>
      <c r="ED83" s="230"/>
      <c r="EE83" s="230"/>
      <c r="EF83" s="230"/>
      <c r="EG83" s="230"/>
      <c r="EH83" s="230"/>
      <c r="EI83" s="230"/>
      <c r="EJ83" s="230"/>
      <c r="EK83" s="230"/>
      <c r="EL83" s="230"/>
      <c r="EM83" s="230"/>
      <c r="EN83" s="230"/>
      <c r="EO83" s="230"/>
      <c r="EP83" s="230"/>
      <c r="EQ83" s="230"/>
      <c r="ER83" s="230"/>
      <c r="ES83" s="230"/>
      <c r="ET83" s="230"/>
      <c r="EU83" s="230"/>
      <c r="EV83" s="230"/>
      <c r="EW83" s="230"/>
      <c r="EX83" s="230"/>
      <c r="EY83" s="230"/>
      <c r="EZ83" s="230"/>
      <c r="FA83" s="230"/>
      <c r="FB83" s="230"/>
      <c r="FC83" s="230"/>
      <c r="FD83" s="230"/>
      <c r="FE83" s="230"/>
      <c r="FF83" s="230"/>
      <c r="FG83" s="230"/>
      <c r="FH83" s="230"/>
      <c r="FI83" s="230"/>
      <c r="FJ83" s="230"/>
      <c r="FK83" s="230"/>
      <c r="FL83" s="230"/>
      <c r="FM83" s="230"/>
      <c r="FN83" s="230"/>
      <c r="FO83" s="230"/>
      <c r="FP83" s="230"/>
      <c r="FQ83" s="230"/>
      <c r="FR83" s="230"/>
      <c r="FS83" s="230"/>
      <c r="FT83" s="230"/>
      <c r="FU83" s="230"/>
      <c r="FV83" s="230"/>
      <c r="FW83" s="230"/>
      <c r="FX83" s="230"/>
      <c r="FY83" s="230"/>
      <c r="FZ83" s="230"/>
      <c r="GA83" s="230"/>
      <c r="GB83" s="230"/>
      <c r="GC83" s="230"/>
      <c r="GD83" s="230"/>
      <c r="GE83" s="230"/>
      <c r="GF83" s="230"/>
      <c r="GG83" s="230"/>
      <c r="GH83" s="230"/>
      <c r="GI83" s="230"/>
      <c r="GJ83" s="230"/>
      <c r="GK83" s="230"/>
      <c r="GL83" s="230"/>
      <c r="GM83" s="230"/>
      <c r="GN83" s="230"/>
      <c r="GO83" s="230"/>
      <c r="GP83" s="230"/>
      <c r="GQ83" s="230"/>
      <c r="GR83" s="230"/>
      <c r="GS83" s="230"/>
      <c r="GT83" s="230"/>
      <c r="GU83" s="230"/>
      <c r="GV83" s="230"/>
      <c r="GW83" s="230"/>
      <c r="GX83" s="230"/>
      <c r="GY83" s="230"/>
      <c r="GZ83" s="230"/>
      <c r="HA83" s="230"/>
      <c r="HB83" s="230"/>
      <c r="HC83" s="230"/>
      <c r="HD83" s="230"/>
      <c r="HE83" s="230"/>
      <c r="HF83" s="230"/>
      <c r="HG83" s="230"/>
      <c r="HH83" s="230"/>
      <c r="HI83" s="230"/>
      <c r="HJ83" s="230"/>
      <c r="HK83" s="230"/>
      <c r="HL83" s="230"/>
      <c r="HM83" s="230"/>
      <c r="HN83" s="230"/>
      <c r="HO83" s="230"/>
      <c r="HP83" s="230"/>
      <c r="HQ83" s="230"/>
      <c r="HR83" s="230"/>
      <c r="HS83" s="230"/>
      <c r="HT83" s="230"/>
      <c r="HU83" s="230"/>
      <c r="HV83" s="230"/>
      <c r="HW83" s="230"/>
      <c r="HX83" s="230"/>
      <c r="HY83" s="230"/>
      <c r="HZ83" s="230"/>
      <c r="IA83" s="230"/>
      <c r="IB83" s="230"/>
      <c r="IC83" s="230"/>
      <c r="ID83" s="230"/>
      <c r="IE83" s="230"/>
      <c r="IF83" s="230"/>
      <c r="IG83" s="230"/>
      <c r="IH83" s="230"/>
      <c r="II83" s="230"/>
      <c r="IJ83" s="230"/>
      <c r="IK83" s="230"/>
      <c r="IL83" s="230"/>
      <c r="IM83" s="230"/>
    </row>
    <row r="84" spans="1:247" s="73" customFormat="1">
      <c r="A84" s="193" t="s">
        <v>603</v>
      </c>
      <c r="B84" s="194">
        <f>B83*160*1.302*1.7</f>
        <v>71182.944000000003</v>
      </c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0"/>
      <c r="DI84" s="230"/>
      <c r="DJ84" s="230"/>
      <c r="DK84" s="230"/>
      <c r="DL84" s="230"/>
      <c r="DM84" s="230"/>
      <c r="DN84" s="230"/>
      <c r="DO84" s="230"/>
      <c r="DP84" s="230"/>
      <c r="DQ84" s="230"/>
      <c r="DR84" s="230"/>
      <c r="DS84" s="230"/>
      <c r="DT84" s="230"/>
      <c r="DU84" s="230"/>
      <c r="DV84" s="230"/>
      <c r="DW84" s="230"/>
      <c r="DX84" s="230"/>
      <c r="DY84" s="230"/>
      <c r="DZ84" s="230"/>
      <c r="EA84" s="230"/>
      <c r="EB84" s="230"/>
      <c r="EC84" s="230"/>
      <c r="ED84" s="230"/>
      <c r="EE84" s="230"/>
      <c r="EF84" s="230"/>
      <c r="EG84" s="230"/>
      <c r="EH84" s="230"/>
      <c r="EI84" s="230"/>
      <c r="EJ84" s="230"/>
      <c r="EK84" s="230"/>
      <c r="EL84" s="230"/>
      <c r="EM84" s="230"/>
      <c r="EN84" s="230"/>
      <c r="EO84" s="230"/>
      <c r="EP84" s="230"/>
      <c r="EQ84" s="230"/>
      <c r="ER84" s="230"/>
      <c r="ES84" s="230"/>
      <c r="ET84" s="230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0"/>
      <c r="FF84" s="230"/>
      <c r="FG84" s="230"/>
      <c r="FH84" s="230"/>
      <c r="FI84" s="230"/>
      <c r="FJ84" s="230"/>
      <c r="FK84" s="230"/>
      <c r="FL84" s="230"/>
      <c r="FM84" s="230"/>
      <c r="FN84" s="230"/>
      <c r="FO84" s="230"/>
      <c r="FP84" s="230"/>
      <c r="FQ84" s="230"/>
      <c r="FR84" s="230"/>
      <c r="FS84" s="230"/>
      <c r="FT84" s="230"/>
      <c r="FU84" s="230"/>
      <c r="FV84" s="230"/>
      <c r="FW84" s="230"/>
      <c r="FX84" s="230"/>
      <c r="FY84" s="230"/>
      <c r="FZ84" s="230"/>
      <c r="GA84" s="230"/>
      <c r="GB84" s="230"/>
      <c r="GC84" s="230"/>
      <c r="GD84" s="230"/>
      <c r="GE84" s="230"/>
      <c r="GF84" s="230"/>
      <c r="GG84" s="230"/>
      <c r="GH84" s="230"/>
      <c r="GI84" s="230"/>
      <c r="GJ84" s="230"/>
      <c r="GK84" s="230"/>
      <c r="GL84" s="230"/>
      <c r="GM84" s="230"/>
      <c r="GN84" s="230"/>
      <c r="GO84" s="230"/>
      <c r="GP84" s="230"/>
      <c r="GQ84" s="230"/>
      <c r="GR84" s="230"/>
      <c r="GS84" s="230"/>
      <c r="GT84" s="230"/>
      <c r="GU84" s="230"/>
      <c r="GV84" s="230"/>
      <c r="GW84" s="230"/>
      <c r="GX84" s="230"/>
      <c r="GY84" s="230"/>
      <c r="GZ84" s="230"/>
      <c r="HA84" s="230"/>
      <c r="HB84" s="230"/>
      <c r="HC84" s="230"/>
      <c r="HD84" s="230"/>
      <c r="HE84" s="230"/>
      <c r="HF84" s="230"/>
      <c r="HG84" s="230"/>
      <c r="HH84" s="230"/>
      <c r="HI84" s="230"/>
      <c r="HJ84" s="230"/>
      <c r="HK84" s="230"/>
      <c r="HL84" s="230"/>
      <c r="HM84" s="230"/>
      <c r="HN84" s="230"/>
      <c r="HO84" s="230"/>
      <c r="HP84" s="230"/>
      <c r="HQ84" s="230"/>
      <c r="HR84" s="230"/>
      <c r="HS84" s="230"/>
      <c r="HT84" s="230"/>
      <c r="HU84" s="230"/>
      <c r="HV84" s="230"/>
      <c r="HW84" s="230"/>
      <c r="HX84" s="230"/>
      <c r="HY84" s="230"/>
      <c r="HZ84" s="230"/>
      <c r="IA84" s="230"/>
      <c r="IB84" s="230"/>
      <c r="IC84" s="230"/>
      <c r="ID84" s="230"/>
      <c r="IE84" s="230"/>
      <c r="IF84" s="230"/>
      <c r="IG84" s="230"/>
      <c r="IH84" s="230"/>
      <c r="II84" s="230"/>
      <c r="IJ84" s="230"/>
      <c r="IK84" s="230"/>
      <c r="IL84" s="230"/>
      <c r="IM84" s="230"/>
    </row>
    <row r="85" spans="1:247" s="73" customFormat="1">
      <c r="A85" s="193" t="s">
        <v>724</v>
      </c>
      <c r="B85" s="194">
        <f>12503.67*1.7</f>
        <v>21256.238999999998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DJ85" s="230"/>
      <c r="DK85" s="230"/>
      <c r="DL85" s="230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30"/>
      <c r="DX85" s="230"/>
      <c r="DY85" s="230"/>
      <c r="DZ85" s="230"/>
      <c r="EA85" s="230"/>
      <c r="EB85" s="230"/>
      <c r="EC85" s="230"/>
      <c r="ED85" s="230"/>
      <c r="EE85" s="230"/>
      <c r="EF85" s="230"/>
      <c r="EG85" s="230"/>
      <c r="EH85" s="230"/>
      <c r="EI85" s="230"/>
      <c r="EJ85" s="230"/>
      <c r="EK85" s="230"/>
      <c r="EL85" s="230"/>
      <c r="EM85" s="230"/>
      <c r="EN85" s="230"/>
      <c r="EO85" s="230"/>
      <c r="EP85" s="230"/>
      <c r="EQ85" s="230"/>
      <c r="ER85" s="230"/>
      <c r="ES85" s="230"/>
      <c r="ET85" s="230"/>
      <c r="EU85" s="230"/>
      <c r="EV85" s="230"/>
      <c r="EW85" s="230"/>
      <c r="EX85" s="230"/>
      <c r="EY85" s="230"/>
      <c r="EZ85" s="230"/>
      <c r="FA85" s="230"/>
      <c r="FB85" s="230"/>
      <c r="FC85" s="230"/>
      <c r="FD85" s="230"/>
      <c r="FE85" s="230"/>
      <c r="FF85" s="230"/>
      <c r="FG85" s="230"/>
      <c r="FH85" s="230"/>
      <c r="FI85" s="230"/>
      <c r="FJ85" s="230"/>
      <c r="FK85" s="230"/>
      <c r="FL85" s="230"/>
      <c r="FM85" s="230"/>
      <c r="FN85" s="230"/>
      <c r="FO85" s="230"/>
      <c r="FP85" s="230"/>
      <c r="FQ85" s="230"/>
      <c r="FR85" s="230"/>
      <c r="FS85" s="230"/>
      <c r="FT85" s="230"/>
      <c r="FU85" s="230"/>
      <c r="FV85" s="230"/>
      <c r="FW85" s="230"/>
      <c r="FX85" s="230"/>
      <c r="FY85" s="230"/>
      <c r="FZ85" s="230"/>
      <c r="GA85" s="230"/>
      <c r="GB85" s="230"/>
      <c r="GC85" s="230"/>
      <c r="GD85" s="230"/>
      <c r="GE85" s="230"/>
      <c r="GF85" s="230"/>
      <c r="GG85" s="230"/>
      <c r="GH85" s="230"/>
      <c r="GI85" s="230"/>
      <c r="GJ85" s="230"/>
      <c r="GK85" s="230"/>
      <c r="GL85" s="230"/>
      <c r="GM85" s="230"/>
      <c r="GN85" s="230"/>
      <c r="GO85" s="230"/>
      <c r="GP85" s="230"/>
      <c r="GQ85" s="230"/>
      <c r="GR85" s="230"/>
      <c r="GS85" s="230"/>
      <c r="GT85" s="230"/>
      <c r="GU85" s="230"/>
      <c r="GV85" s="230"/>
      <c r="GW85" s="230"/>
      <c r="GX85" s="230"/>
      <c r="GY85" s="230"/>
      <c r="GZ85" s="230"/>
      <c r="HA85" s="230"/>
      <c r="HB85" s="230"/>
      <c r="HC85" s="230"/>
      <c r="HD85" s="230"/>
      <c r="HE85" s="230"/>
      <c r="HF85" s="230"/>
      <c r="HG85" s="230"/>
      <c r="HH85" s="230"/>
      <c r="HI85" s="230"/>
      <c r="HJ85" s="230"/>
      <c r="HK85" s="230"/>
      <c r="HL85" s="230"/>
      <c r="HM85" s="230"/>
      <c r="HN85" s="230"/>
      <c r="HO85" s="230"/>
      <c r="HP85" s="230"/>
      <c r="HQ85" s="230"/>
      <c r="HR85" s="230"/>
      <c r="HS85" s="230"/>
      <c r="HT85" s="230"/>
      <c r="HU85" s="230"/>
      <c r="HV85" s="230"/>
      <c r="HW85" s="230"/>
      <c r="HX85" s="230"/>
      <c r="HY85" s="230"/>
      <c r="HZ85" s="230"/>
      <c r="IA85" s="230"/>
      <c r="IB85" s="230"/>
      <c r="IC85" s="230"/>
      <c r="ID85" s="230"/>
      <c r="IE85" s="230"/>
      <c r="IF85" s="230"/>
      <c r="IG85" s="230"/>
      <c r="IH85" s="230"/>
      <c r="II85" s="230"/>
      <c r="IJ85" s="230"/>
      <c r="IK85" s="230"/>
      <c r="IL85" s="230"/>
      <c r="IM85" s="230"/>
    </row>
    <row r="86" spans="1:247" s="73" customFormat="1">
      <c r="A86" s="261" t="s">
        <v>808</v>
      </c>
      <c r="B86" s="194">
        <v>-14910.47</v>
      </c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0"/>
      <c r="CT86" s="230"/>
      <c r="CU86" s="230"/>
      <c r="CV86" s="230"/>
      <c r="CW86" s="230"/>
      <c r="CX86" s="230"/>
      <c r="CY86" s="230"/>
      <c r="CZ86" s="230"/>
      <c r="DA86" s="230"/>
      <c r="DB86" s="230"/>
      <c r="DC86" s="230"/>
      <c r="DD86" s="230"/>
      <c r="DE86" s="230"/>
      <c r="DF86" s="230"/>
      <c r="DG86" s="230"/>
      <c r="DH86" s="230"/>
      <c r="DI86" s="230"/>
      <c r="DJ86" s="230"/>
      <c r="DK86" s="230"/>
      <c r="DL86" s="230"/>
      <c r="DM86" s="230"/>
      <c r="DN86" s="230"/>
      <c r="DO86" s="230"/>
      <c r="DP86" s="230"/>
      <c r="DQ86" s="230"/>
      <c r="DR86" s="230"/>
      <c r="DS86" s="230"/>
      <c r="DT86" s="230"/>
      <c r="DU86" s="230"/>
      <c r="DV86" s="230"/>
      <c r="DW86" s="230"/>
      <c r="DX86" s="230"/>
      <c r="DY86" s="230"/>
      <c r="DZ86" s="230"/>
      <c r="EA86" s="230"/>
      <c r="EB86" s="230"/>
      <c r="EC86" s="230"/>
      <c r="ED86" s="230"/>
      <c r="EE86" s="230"/>
      <c r="EF86" s="230"/>
      <c r="EG86" s="230"/>
      <c r="EH86" s="230"/>
      <c r="EI86" s="230"/>
      <c r="EJ86" s="230"/>
      <c r="EK86" s="230"/>
      <c r="EL86" s="230"/>
      <c r="EM86" s="230"/>
      <c r="EN86" s="230"/>
      <c r="EO86" s="230"/>
      <c r="EP86" s="230"/>
      <c r="EQ86" s="230"/>
      <c r="ER86" s="230"/>
      <c r="ES86" s="230"/>
      <c r="ET86" s="230"/>
      <c r="EU86" s="230"/>
      <c r="EV86" s="230"/>
      <c r="EW86" s="230"/>
      <c r="EX86" s="230"/>
      <c r="EY86" s="230"/>
      <c r="EZ86" s="230"/>
      <c r="FA86" s="230"/>
      <c r="FB86" s="230"/>
      <c r="FC86" s="230"/>
      <c r="FD86" s="230"/>
      <c r="FE86" s="230"/>
      <c r="FF86" s="230"/>
      <c r="FG86" s="230"/>
      <c r="FH86" s="230"/>
      <c r="FI86" s="230"/>
      <c r="FJ86" s="230"/>
      <c r="FK86" s="230"/>
      <c r="FL86" s="230"/>
      <c r="FM86" s="230"/>
      <c r="FN86" s="230"/>
      <c r="FO86" s="230"/>
      <c r="FP86" s="230"/>
      <c r="FQ86" s="230"/>
      <c r="FR86" s="230"/>
      <c r="FS86" s="230"/>
      <c r="FT86" s="230"/>
      <c r="FU86" s="230"/>
      <c r="FV86" s="230"/>
      <c r="FW86" s="230"/>
      <c r="FX86" s="230"/>
      <c r="FY86" s="230"/>
      <c r="FZ86" s="230"/>
      <c r="GA86" s="230"/>
      <c r="GB86" s="230"/>
      <c r="GC86" s="230"/>
      <c r="GD86" s="230"/>
      <c r="GE86" s="230"/>
      <c r="GF86" s="230"/>
      <c r="GG86" s="230"/>
      <c r="GH86" s="230"/>
      <c r="GI86" s="230"/>
      <c r="GJ86" s="230"/>
      <c r="GK86" s="230"/>
      <c r="GL86" s="230"/>
      <c r="GM86" s="230"/>
      <c r="GN86" s="230"/>
      <c r="GO86" s="230"/>
      <c r="GP86" s="230"/>
      <c r="GQ86" s="230"/>
      <c r="GR86" s="230"/>
      <c r="GS86" s="230"/>
      <c r="GT86" s="230"/>
      <c r="GU86" s="230"/>
      <c r="GV86" s="230"/>
      <c r="GW86" s="230"/>
      <c r="GX86" s="230"/>
      <c r="GY86" s="230"/>
      <c r="GZ86" s="230"/>
      <c r="HA86" s="230"/>
      <c r="HB86" s="230"/>
      <c r="HC86" s="230"/>
      <c r="HD86" s="230"/>
      <c r="HE86" s="230"/>
      <c r="HF86" s="230"/>
      <c r="HG86" s="230"/>
      <c r="HH86" s="230"/>
      <c r="HI86" s="230"/>
      <c r="HJ86" s="230"/>
      <c r="HK86" s="230"/>
      <c r="HL86" s="230"/>
      <c r="HM86" s="230"/>
      <c r="HN86" s="230"/>
      <c r="HO86" s="230"/>
      <c r="HP86" s="230"/>
      <c r="HQ86" s="230"/>
      <c r="HR86" s="230"/>
      <c r="HS86" s="230"/>
      <c r="HT86" s="230"/>
      <c r="HU86" s="230"/>
      <c r="HV86" s="230"/>
      <c r="HW86" s="230"/>
      <c r="HX86" s="230"/>
      <c r="HY86" s="230"/>
      <c r="HZ86" s="230"/>
      <c r="IA86" s="230"/>
      <c r="IB86" s="230"/>
      <c r="IC86" s="230"/>
      <c r="ID86" s="230"/>
      <c r="IE86" s="230"/>
      <c r="IF86" s="230"/>
      <c r="IG86" s="230"/>
      <c r="IH86" s="230"/>
      <c r="II86" s="230"/>
      <c r="IJ86" s="230"/>
      <c r="IK86" s="230"/>
      <c r="IL86" s="230"/>
      <c r="IM86" s="230"/>
    </row>
    <row r="87" spans="1:247" s="73" customFormat="1">
      <c r="A87" s="261" t="s">
        <v>1591</v>
      </c>
      <c r="B87" s="194">
        <f>B73-B75+B86</f>
        <v>13385.074292406791</v>
      </c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230"/>
      <c r="CT87" s="230"/>
      <c r="CU87" s="230"/>
      <c r="CV87" s="230"/>
      <c r="CW87" s="230"/>
      <c r="CX87" s="230"/>
      <c r="CY87" s="230"/>
      <c r="CZ87" s="230"/>
      <c r="DA87" s="230"/>
      <c r="DB87" s="230"/>
      <c r="DC87" s="230"/>
      <c r="DD87" s="230"/>
      <c r="DE87" s="230"/>
      <c r="DF87" s="230"/>
      <c r="DG87" s="230"/>
      <c r="DH87" s="230"/>
      <c r="DI87" s="230"/>
      <c r="DJ87" s="230"/>
      <c r="DK87" s="230"/>
      <c r="DL87" s="230"/>
      <c r="DM87" s="230"/>
      <c r="DN87" s="230"/>
      <c r="DO87" s="230"/>
      <c r="DP87" s="230"/>
      <c r="DQ87" s="230"/>
      <c r="DR87" s="230"/>
      <c r="DS87" s="230"/>
      <c r="DT87" s="230"/>
      <c r="DU87" s="230"/>
      <c r="DV87" s="230"/>
      <c r="DW87" s="230"/>
      <c r="DX87" s="230"/>
      <c r="DY87" s="230"/>
      <c r="DZ87" s="230"/>
      <c r="EA87" s="230"/>
      <c r="EB87" s="230"/>
      <c r="EC87" s="230"/>
      <c r="ED87" s="230"/>
      <c r="EE87" s="230"/>
      <c r="EF87" s="230"/>
      <c r="EG87" s="230"/>
      <c r="EH87" s="230"/>
      <c r="EI87" s="230"/>
      <c r="EJ87" s="230"/>
      <c r="EK87" s="230"/>
      <c r="EL87" s="230"/>
      <c r="EM87" s="230"/>
      <c r="EN87" s="230"/>
      <c r="EO87" s="230"/>
      <c r="EP87" s="230"/>
      <c r="EQ87" s="230"/>
      <c r="ER87" s="230"/>
      <c r="ES87" s="230"/>
      <c r="ET87" s="230"/>
      <c r="EU87" s="230"/>
      <c r="EV87" s="230"/>
      <c r="EW87" s="230"/>
      <c r="EX87" s="230"/>
      <c r="EY87" s="230"/>
      <c r="EZ87" s="230"/>
      <c r="FA87" s="230"/>
      <c r="FB87" s="230"/>
      <c r="FC87" s="230"/>
      <c r="FD87" s="230"/>
      <c r="FE87" s="230"/>
      <c r="FF87" s="230"/>
      <c r="FG87" s="230"/>
      <c r="FH87" s="230"/>
      <c r="FI87" s="230"/>
      <c r="FJ87" s="230"/>
      <c r="FK87" s="230"/>
      <c r="FL87" s="230"/>
      <c r="FM87" s="230"/>
      <c r="FN87" s="230"/>
      <c r="FO87" s="230"/>
      <c r="FP87" s="230"/>
      <c r="FQ87" s="230"/>
      <c r="FR87" s="230"/>
      <c r="FS87" s="230"/>
      <c r="FT87" s="230"/>
      <c r="FU87" s="230"/>
      <c r="FV87" s="230"/>
      <c r="FW87" s="230"/>
      <c r="FX87" s="230"/>
      <c r="FY87" s="230"/>
      <c r="FZ87" s="230"/>
      <c r="GA87" s="230"/>
      <c r="GB87" s="230"/>
      <c r="GC87" s="230"/>
      <c r="GD87" s="230"/>
      <c r="GE87" s="230"/>
      <c r="GF87" s="230"/>
      <c r="GG87" s="230"/>
      <c r="GH87" s="230"/>
      <c r="GI87" s="230"/>
      <c r="GJ87" s="230"/>
      <c r="GK87" s="230"/>
      <c r="GL87" s="230"/>
      <c r="GM87" s="230"/>
      <c r="GN87" s="230"/>
      <c r="GO87" s="230"/>
      <c r="GP87" s="230"/>
      <c r="GQ87" s="230"/>
      <c r="GR87" s="230"/>
      <c r="GS87" s="230"/>
      <c r="GT87" s="230"/>
      <c r="GU87" s="230"/>
      <c r="GV87" s="230"/>
      <c r="GW87" s="230"/>
      <c r="GX87" s="230"/>
      <c r="GY87" s="230"/>
      <c r="GZ87" s="230"/>
      <c r="HA87" s="230"/>
      <c r="HB87" s="230"/>
      <c r="HC87" s="230"/>
      <c r="HD87" s="230"/>
      <c r="HE87" s="230"/>
      <c r="HF87" s="230"/>
      <c r="HG87" s="230"/>
      <c r="HH87" s="230"/>
      <c r="HI87" s="230"/>
      <c r="HJ87" s="230"/>
      <c r="HK87" s="230"/>
      <c r="HL87" s="230"/>
      <c r="HM87" s="230"/>
      <c r="HN87" s="230"/>
      <c r="HO87" s="230"/>
      <c r="HP87" s="230"/>
      <c r="HQ87" s="230"/>
      <c r="HR87" s="230"/>
      <c r="HS87" s="230"/>
      <c r="HT87" s="230"/>
      <c r="HU87" s="230"/>
      <c r="HV87" s="230"/>
      <c r="HW87" s="230"/>
      <c r="HX87" s="230"/>
      <c r="HY87" s="230"/>
      <c r="HZ87" s="230"/>
      <c r="IA87" s="230"/>
      <c r="IB87" s="230"/>
      <c r="IC87" s="230"/>
      <c r="ID87" s="230"/>
      <c r="IE87" s="230"/>
      <c r="IF87" s="230"/>
      <c r="IG87" s="230"/>
      <c r="IH87" s="230"/>
      <c r="II87" s="230"/>
      <c r="IJ87" s="230"/>
      <c r="IK87" s="230"/>
      <c r="IL87" s="230"/>
      <c r="IM87" s="230"/>
    </row>
    <row r="88" spans="1:247" s="73" customFormat="1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230"/>
      <c r="CT88" s="230"/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0"/>
      <c r="DX88" s="230"/>
      <c r="DY88" s="230"/>
      <c r="DZ88" s="230"/>
      <c r="EA88" s="230"/>
      <c r="EB88" s="230"/>
      <c r="EC88" s="230"/>
      <c r="ED88" s="230"/>
      <c r="EE88" s="230"/>
      <c r="EF88" s="230"/>
      <c r="EG88" s="230"/>
      <c r="EH88" s="230"/>
      <c r="EI88" s="230"/>
      <c r="EJ88" s="230"/>
      <c r="EK88" s="230"/>
      <c r="EL88" s="230"/>
      <c r="EM88" s="230"/>
      <c r="EN88" s="230"/>
      <c r="EO88" s="230"/>
      <c r="EP88" s="230"/>
      <c r="EQ88" s="230"/>
      <c r="ER88" s="230"/>
      <c r="ES88" s="230"/>
      <c r="ET88" s="230"/>
      <c r="EU88" s="230"/>
      <c r="EV88" s="230"/>
      <c r="EW88" s="230"/>
      <c r="EX88" s="230"/>
      <c r="EY88" s="230"/>
      <c r="EZ88" s="230"/>
      <c r="FA88" s="230"/>
      <c r="FB88" s="230"/>
      <c r="FC88" s="230"/>
      <c r="FD88" s="230"/>
      <c r="FE88" s="230"/>
      <c r="FF88" s="230"/>
      <c r="FG88" s="230"/>
      <c r="FH88" s="230"/>
      <c r="FI88" s="230"/>
      <c r="FJ88" s="230"/>
      <c r="FK88" s="230"/>
      <c r="FL88" s="230"/>
      <c r="FM88" s="230"/>
      <c r="FN88" s="230"/>
      <c r="FO88" s="230"/>
      <c r="FP88" s="230"/>
      <c r="FQ88" s="230"/>
      <c r="FR88" s="230"/>
      <c r="FS88" s="230"/>
      <c r="FT88" s="230"/>
      <c r="FU88" s="230"/>
      <c r="FV88" s="230"/>
      <c r="FW88" s="230"/>
      <c r="FX88" s="230"/>
      <c r="FY88" s="230"/>
      <c r="FZ88" s="230"/>
      <c r="GA88" s="230"/>
      <c r="GB88" s="230"/>
      <c r="GC88" s="230"/>
      <c r="GD88" s="230"/>
      <c r="GE88" s="230"/>
      <c r="GF88" s="230"/>
      <c r="GG88" s="230"/>
      <c r="GH88" s="230"/>
      <c r="GI88" s="230"/>
      <c r="GJ88" s="230"/>
      <c r="GK88" s="230"/>
      <c r="GL88" s="230"/>
      <c r="GM88" s="230"/>
      <c r="GN88" s="230"/>
      <c r="GO88" s="230"/>
      <c r="GP88" s="230"/>
      <c r="GQ88" s="230"/>
      <c r="GR88" s="230"/>
      <c r="GS88" s="230"/>
      <c r="GT88" s="230"/>
      <c r="GU88" s="230"/>
      <c r="GV88" s="230"/>
      <c r="GW88" s="230"/>
      <c r="GX88" s="230"/>
      <c r="GY88" s="230"/>
      <c r="GZ88" s="230"/>
      <c r="HA88" s="230"/>
      <c r="HB88" s="230"/>
      <c r="HC88" s="230"/>
      <c r="HD88" s="230"/>
      <c r="HE88" s="230"/>
      <c r="HF88" s="230"/>
      <c r="HG88" s="230"/>
      <c r="HH88" s="230"/>
      <c r="HI88" s="230"/>
      <c r="HJ88" s="230"/>
      <c r="HK88" s="230"/>
      <c r="HL88" s="230"/>
      <c r="HM88" s="230"/>
      <c r="HN88" s="230"/>
      <c r="HO88" s="230"/>
      <c r="HP88" s="230"/>
      <c r="HQ88" s="230"/>
      <c r="HR88" s="230"/>
      <c r="HS88" s="230"/>
      <c r="HT88" s="230"/>
      <c r="HU88" s="230"/>
      <c r="HV88" s="230"/>
      <c r="HW88" s="230"/>
      <c r="HX88" s="230"/>
      <c r="HY88" s="230"/>
      <c r="HZ88" s="230"/>
      <c r="IA88" s="230"/>
      <c r="IB88" s="230"/>
      <c r="IC88" s="230"/>
      <c r="ID88" s="230"/>
      <c r="IE88" s="230"/>
      <c r="IF88" s="230"/>
      <c r="IG88" s="230"/>
      <c r="IH88" s="230"/>
      <c r="II88" s="230"/>
      <c r="IJ88" s="230"/>
      <c r="IK88" s="230"/>
      <c r="IL88" s="230"/>
      <c r="IM88" s="230"/>
    </row>
    <row r="89" spans="1:247" s="73" customFormat="1">
      <c r="A89" s="458" t="s">
        <v>605</v>
      </c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0"/>
      <c r="CT89" s="230"/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0"/>
      <c r="DI89" s="230"/>
      <c r="DJ89" s="230"/>
      <c r="DK89" s="230"/>
      <c r="DL89" s="230"/>
      <c r="DM89" s="230"/>
      <c r="DN89" s="230"/>
      <c r="DO89" s="230"/>
      <c r="DP89" s="230"/>
      <c r="DQ89" s="230"/>
      <c r="DR89" s="230"/>
      <c r="DS89" s="230"/>
      <c r="DT89" s="230"/>
      <c r="DU89" s="230"/>
      <c r="DV89" s="230"/>
      <c r="DW89" s="230"/>
      <c r="DX89" s="230"/>
      <c r="DY89" s="230"/>
      <c r="DZ89" s="230"/>
      <c r="EA89" s="230"/>
      <c r="EB89" s="230"/>
      <c r="EC89" s="230"/>
      <c r="ED89" s="230"/>
      <c r="EE89" s="230"/>
      <c r="EF89" s="230"/>
      <c r="EG89" s="230"/>
      <c r="EH89" s="230"/>
      <c r="EI89" s="230"/>
      <c r="EJ89" s="230"/>
      <c r="EK89" s="230"/>
      <c r="EL89" s="230"/>
      <c r="EM89" s="230"/>
      <c r="EN89" s="230"/>
      <c r="EO89" s="230"/>
      <c r="EP89" s="230"/>
      <c r="EQ89" s="230"/>
      <c r="ER89" s="230"/>
      <c r="ES89" s="230"/>
      <c r="ET89" s="230"/>
      <c r="EU89" s="230"/>
      <c r="EV89" s="230"/>
      <c r="EW89" s="230"/>
      <c r="EX89" s="230"/>
      <c r="EY89" s="230"/>
      <c r="EZ89" s="230"/>
      <c r="FA89" s="230"/>
      <c r="FB89" s="230"/>
      <c r="FC89" s="230"/>
      <c r="FD89" s="230"/>
      <c r="FE89" s="230"/>
      <c r="FF89" s="230"/>
      <c r="FG89" s="230"/>
      <c r="FH89" s="230"/>
      <c r="FI89" s="230"/>
      <c r="FJ89" s="230"/>
      <c r="FK89" s="230"/>
      <c r="FL89" s="230"/>
      <c r="FM89" s="230"/>
      <c r="FN89" s="230"/>
      <c r="FO89" s="230"/>
      <c r="FP89" s="230"/>
      <c r="FQ89" s="230"/>
      <c r="FR89" s="230"/>
      <c r="FS89" s="230"/>
      <c r="FT89" s="230"/>
      <c r="FU89" s="230"/>
      <c r="FV89" s="230"/>
      <c r="FW89" s="230"/>
      <c r="FX89" s="230"/>
      <c r="FY89" s="230"/>
      <c r="FZ89" s="230"/>
      <c r="GA89" s="230"/>
      <c r="GB89" s="230"/>
      <c r="GC89" s="230"/>
      <c r="GD89" s="230"/>
      <c r="GE89" s="230"/>
      <c r="GF89" s="230"/>
      <c r="GG89" s="230"/>
      <c r="GH89" s="230"/>
      <c r="GI89" s="230"/>
      <c r="GJ89" s="230"/>
      <c r="GK89" s="230"/>
      <c r="GL89" s="230"/>
      <c r="GM89" s="230"/>
      <c r="GN89" s="230"/>
      <c r="GO89" s="230"/>
      <c r="GP89" s="230"/>
      <c r="GQ89" s="230"/>
      <c r="GR89" s="230"/>
      <c r="GS89" s="230"/>
      <c r="GT89" s="230"/>
      <c r="GU89" s="230"/>
      <c r="GV89" s="230"/>
      <c r="GW89" s="230"/>
      <c r="GX89" s="230"/>
      <c r="GY89" s="230"/>
      <c r="GZ89" s="230"/>
      <c r="HA89" s="230"/>
      <c r="HB89" s="230"/>
      <c r="HC89" s="230"/>
      <c r="HD89" s="230"/>
      <c r="HE89" s="230"/>
      <c r="HF89" s="230"/>
      <c r="HG89" s="230"/>
      <c r="HH89" s="230"/>
      <c r="HI89" s="230"/>
      <c r="HJ89" s="230"/>
      <c r="HK89" s="230"/>
      <c r="HL89" s="230"/>
      <c r="HM89" s="230"/>
      <c r="HN89" s="230"/>
      <c r="HO89" s="230"/>
      <c r="HP89" s="230"/>
      <c r="HQ89" s="230"/>
      <c r="HR89" s="230"/>
      <c r="HS89" s="230"/>
      <c r="HT89" s="230"/>
      <c r="HU89" s="230"/>
      <c r="HV89" s="230"/>
      <c r="HW89" s="230"/>
      <c r="HX89" s="230"/>
      <c r="HY89" s="230"/>
      <c r="HZ89" s="230"/>
      <c r="IA89" s="230"/>
      <c r="IB89" s="230"/>
      <c r="IC89" s="230"/>
      <c r="ID89" s="230"/>
      <c r="IE89" s="230"/>
      <c r="IF89" s="230"/>
      <c r="IG89" s="230"/>
      <c r="IH89" s="230"/>
      <c r="II89" s="230"/>
      <c r="IJ89" s="230"/>
      <c r="IK89" s="230"/>
      <c r="IL89" s="230"/>
      <c r="IM89" s="230"/>
    </row>
    <row r="90" spans="1:247" s="75" customFormat="1">
      <c r="B90" s="75">
        <f>5.94*B66*12</f>
        <v>89527.680000000008</v>
      </c>
    </row>
    <row r="91" spans="1:247">
      <c r="B91" s="276">
        <f>B90+B75</f>
        <v>286302.19570759323</v>
      </c>
    </row>
    <row r="92" spans="1:247">
      <c r="B92">
        <f>B91/B75</f>
        <v>1.4549759895383918</v>
      </c>
    </row>
  </sheetData>
  <mergeCells count="3">
    <mergeCell ref="A1:B1"/>
    <mergeCell ref="A2:B2"/>
    <mergeCell ref="A3:B3"/>
  </mergeCells>
  <pageMargins left="0.31496062992125984" right="0.31496062992125984" top="0.74803149606299213" bottom="0.74803149606299213" header="0.31496062992125984" footer="0.31496062992125984"/>
  <pageSetup paperSize="9" scale="73" fitToWidth="2" fitToHeight="2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R83"/>
  <sheetViews>
    <sheetView topLeftCell="A52" workbookViewId="0">
      <selection activeCell="A54" sqref="A54:B82"/>
    </sheetView>
  </sheetViews>
  <sheetFormatPr defaultRowHeight="15"/>
  <cols>
    <col min="1" max="1" width="74.140625" customWidth="1"/>
    <col min="2" max="2" width="9.85546875" customWidth="1"/>
    <col min="3" max="3" width="14.7109375" customWidth="1"/>
  </cols>
  <sheetData>
    <row r="1" spans="1:2" ht="15.75">
      <c r="A1" s="701" t="s">
        <v>364</v>
      </c>
      <c r="B1" s="701"/>
    </row>
    <row r="2" spans="1:2" ht="15.75">
      <c r="A2" s="702" t="s">
        <v>1578</v>
      </c>
      <c r="B2" s="702"/>
    </row>
    <row r="3" spans="1:2" s="55" customFormat="1" ht="15.75">
      <c r="A3" s="702" t="s">
        <v>1593</v>
      </c>
      <c r="B3" s="702"/>
    </row>
    <row r="4" spans="1:2" s="55" customFormat="1" ht="15.75">
      <c r="A4" s="92"/>
      <c r="B4" s="86"/>
    </row>
    <row r="5" spans="1:2" ht="30">
      <c r="A5" s="371" t="s">
        <v>229</v>
      </c>
      <c r="B5" s="82" t="s">
        <v>523</v>
      </c>
    </row>
    <row r="6" spans="1:2">
      <c r="A6" s="371" t="s">
        <v>229</v>
      </c>
      <c r="B6" s="73"/>
    </row>
    <row r="7" spans="1:2" ht="15.75" thickBot="1">
      <c r="A7" s="383" t="s">
        <v>615</v>
      </c>
      <c r="B7" s="72"/>
    </row>
    <row r="8" spans="1:2" ht="15.75" thickBot="1">
      <c r="A8" s="384" t="s">
        <v>56</v>
      </c>
      <c r="B8" s="72"/>
    </row>
    <row r="9" spans="1:2" ht="15.75" thickBot="1">
      <c r="A9" s="380" t="s">
        <v>57</v>
      </c>
      <c r="B9" s="72"/>
    </row>
    <row r="10" spans="1:2" s="73" customFormat="1" ht="29.25" thickBot="1">
      <c r="A10" s="376" t="s">
        <v>1368</v>
      </c>
      <c r="B10" s="72">
        <v>1</v>
      </c>
    </row>
    <row r="11" spans="1:2" s="73" customFormat="1" ht="28.5">
      <c r="A11" s="374" t="s">
        <v>1370</v>
      </c>
      <c r="B11" s="72">
        <v>8</v>
      </c>
    </row>
    <row r="12" spans="1:2" s="73" customFormat="1">
      <c r="A12" s="374" t="s">
        <v>1376</v>
      </c>
      <c r="B12" s="72">
        <v>2</v>
      </c>
    </row>
    <row r="13" spans="1:2" s="73" customFormat="1" ht="45">
      <c r="A13" s="94" t="s">
        <v>1375</v>
      </c>
      <c r="B13" s="72">
        <v>6</v>
      </c>
    </row>
    <row r="14" spans="1:2" s="73" customFormat="1">
      <c r="A14" s="144" t="s">
        <v>1377</v>
      </c>
      <c r="B14" s="72">
        <v>4</v>
      </c>
    </row>
    <row r="15" spans="1:2" s="73" customFormat="1" ht="30">
      <c r="A15" s="144" t="s">
        <v>1378</v>
      </c>
      <c r="B15" s="72"/>
    </row>
    <row r="16" spans="1:2" s="73" customFormat="1" ht="27" customHeight="1">
      <c r="A16" s="144" t="s">
        <v>1387</v>
      </c>
      <c r="B16" s="72">
        <v>1</v>
      </c>
    </row>
    <row r="17" spans="1:2" s="73" customFormat="1" ht="30">
      <c r="A17" s="144" t="s">
        <v>1393</v>
      </c>
      <c r="B17" s="72">
        <v>4</v>
      </c>
    </row>
    <row r="18" spans="1:2" s="73" customFormat="1" ht="30">
      <c r="A18" s="144" t="s">
        <v>1394</v>
      </c>
      <c r="B18" s="72">
        <v>4</v>
      </c>
    </row>
    <row r="19" spans="1:2" s="73" customFormat="1">
      <c r="A19" s="144" t="s">
        <v>1397</v>
      </c>
      <c r="B19" s="72">
        <v>4</v>
      </c>
    </row>
    <row r="20" spans="1:2" s="73" customFormat="1" ht="30">
      <c r="A20" s="144" t="s">
        <v>1402</v>
      </c>
      <c r="B20" s="72">
        <v>3</v>
      </c>
    </row>
    <row r="21" spans="1:2">
      <c r="A21" s="381" t="s">
        <v>66</v>
      </c>
      <c r="B21" s="76"/>
    </row>
    <row r="22" spans="1:2" s="73" customFormat="1" ht="28.5">
      <c r="A22" s="89" t="s">
        <v>1381</v>
      </c>
      <c r="B22" s="72">
        <v>4.5</v>
      </c>
    </row>
    <row r="23" spans="1:2" s="73" customFormat="1" ht="30" customHeight="1">
      <c r="A23" s="97" t="s">
        <v>1391</v>
      </c>
      <c r="B23" s="72">
        <v>2</v>
      </c>
    </row>
    <row r="24" spans="1:2">
      <c r="A24" s="382" t="s">
        <v>590</v>
      </c>
      <c r="B24" s="76"/>
    </row>
    <row r="25" spans="1:2" s="73" customFormat="1" ht="28.5">
      <c r="A25" s="378" t="s">
        <v>1365</v>
      </c>
      <c r="B25" s="72">
        <v>2</v>
      </c>
    </row>
    <row r="26" spans="1:2" s="73" customFormat="1" ht="28.5">
      <c r="A26" s="226" t="s">
        <v>1366</v>
      </c>
      <c r="B26" s="72">
        <v>3</v>
      </c>
    </row>
    <row r="27" spans="1:2" s="73" customFormat="1" ht="28.5">
      <c r="A27" s="378" t="s">
        <v>1369</v>
      </c>
      <c r="B27" s="72">
        <v>4</v>
      </c>
    </row>
    <row r="28" spans="1:2" s="73" customFormat="1" ht="29.25" customHeight="1">
      <c r="A28" s="372" t="s">
        <v>1373</v>
      </c>
      <c r="B28" s="72">
        <v>2</v>
      </c>
    </row>
    <row r="29" spans="1:2" s="73" customFormat="1" ht="29.25" customHeight="1">
      <c r="A29" s="372" t="s">
        <v>1384</v>
      </c>
      <c r="B29" s="72">
        <v>1</v>
      </c>
    </row>
    <row r="30" spans="1:2" s="73" customFormat="1" ht="35.25" customHeight="1">
      <c r="A30" s="372" t="s">
        <v>1385</v>
      </c>
      <c r="B30" s="72">
        <v>2</v>
      </c>
    </row>
    <row r="31" spans="1:2" s="73" customFormat="1" ht="34.5" customHeight="1">
      <c r="A31" s="377" t="s">
        <v>1398</v>
      </c>
      <c r="B31" s="72">
        <v>6</v>
      </c>
    </row>
    <row r="32" spans="1:2" s="73" customFormat="1" ht="33" customHeight="1">
      <c r="A32" s="377" t="s">
        <v>1399</v>
      </c>
      <c r="B32" s="72">
        <v>2</v>
      </c>
    </row>
    <row r="33" spans="1:2" s="73" customFormat="1" ht="15.75" customHeight="1">
      <c r="A33" s="379" t="s">
        <v>102</v>
      </c>
      <c r="B33" s="72"/>
    </row>
    <row r="34" spans="1:2" s="73" customFormat="1" ht="28.5">
      <c r="A34" s="378" t="s">
        <v>1367</v>
      </c>
      <c r="B34" s="72">
        <v>2</v>
      </c>
    </row>
    <row r="35" spans="1:2" s="73" customFormat="1" ht="42.75">
      <c r="A35" s="378" t="s">
        <v>1371</v>
      </c>
      <c r="B35" s="72">
        <v>1</v>
      </c>
    </row>
    <row r="36" spans="1:2" s="73" customFormat="1" ht="28.5">
      <c r="A36" s="378" t="s">
        <v>1372</v>
      </c>
      <c r="B36" s="72">
        <v>1</v>
      </c>
    </row>
    <row r="37" spans="1:2" s="73" customFormat="1">
      <c r="A37" s="378" t="s">
        <v>1374</v>
      </c>
      <c r="B37" s="72">
        <v>1</v>
      </c>
    </row>
    <row r="38" spans="1:2" s="73" customFormat="1" ht="28.5">
      <c r="A38" s="378" t="s">
        <v>1379</v>
      </c>
      <c r="B38" s="72">
        <v>1</v>
      </c>
    </row>
    <row r="39" spans="1:2" s="73" customFormat="1">
      <c r="A39" s="378" t="s">
        <v>1380</v>
      </c>
      <c r="B39" s="72">
        <v>2</v>
      </c>
    </row>
    <row r="40" spans="1:2" s="73" customFormat="1">
      <c r="A40" s="378" t="s">
        <v>1382</v>
      </c>
      <c r="B40" s="72">
        <v>1</v>
      </c>
    </row>
    <row r="41" spans="1:2" s="73" customFormat="1">
      <c r="A41" s="378" t="s">
        <v>1383</v>
      </c>
      <c r="B41" s="72">
        <v>1</v>
      </c>
    </row>
    <row r="42" spans="1:2" s="73" customFormat="1">
      <c r="A42" s="378" t="s">
        <v>1386</v>
      </c>
      <c r="B42" s="72">
        <v>1</v>
      </c>
    </row>
    <row r="43" spans="1:2" s="73" customFormat="1" ht="42.75">
      <c r="A43" s="378" t="s">
        <v>1388</v>
      </c>
      <c r="B43" s="72">
        <v>4</v>
      </c>
    </row>
    <row r="44" spans="1:2" s="73" customFormat="1" ht="28.5">
      <c r="A44" s="378" t="s">
        <v>1389</v>
      </c>
      <c r="B44" s="72">
        <v>1.5</v>
      </c>
    </row>
    <row r="45" spans="1:2" s="73" customFormat="1" ht="28.5">
      <c r="A45" s="378" t="s">
        <v>1390</v>
      </c>
      <c r="B45" s="72">
        <v>2</v>
      </c>
    </row>
    <row r="46" spans="1:2" s="73" customFormat="1">
      <c r="A46" s="378" t="s">
        <v>1392</v>
      </c>
      <c r="B46" s="72">
        <v>1</v>
      </c>
    </row>
    <row r="47" spans="1:2" s="73" customFormat="1" ht="28.5">
      <c r="A47" s="378" t="s">
        <v>1395</v>
      </c>
      <c r="B47" s="72">
        <v>1</v>
      </c>
    </row>
    <row r="48" spans="1:2" s="73" customFormat="1">
      <c r="A48" s="378" t="s">
        <v>1396</v>
      </c>
      <c r="B48" s="72">
        <v>1</v>
      </c>
    </row>
    <row r="49" spans="1:252" s="73" customFormat="1">
      <c r="A49" s="378" t="s">
        <v>1400</v>
      </c>
      <c r="B49" s="72">
        <v>1.5</v>
      </c>
    </row>
    <row r="50" spans="1:252" s="73" customFormat="1" ht="28.5">
      <c r="A50" s="378" t="s">
        <v>1401</v>
      </c>
      <c r="B50" s="72">
        <v>2</v>
      </c>
    </row>
    <row r="51" spans="1:252" s="73" customFormat="1" ht="15.75" thickBot="1">
      <c r="A51" s="385" t="s">
        <v>587</v>
      </c>
      <c r="B51" s="72">
        <f>SUM(B7:B50)</f>
        <v>90.5</v>
      </c>
      <c r="C51" s="73">
        <f>105-11</f>
        <v>94</v>
      </c>
    </row>
    <row r="52" spans="1:252">
      <c r="A52" s="78"/>
      <c r="B52" s="75"/>
    </row>
    <row r="53" spans="1:252" ht="15.75">
      <c r="A53" s="727" t="s">
        <v>233</v>
      </c>
      <c r="B53" s="727"/>
    </row>
    <row r="54" spans="1:252" s="179" customFormat="1" ht="43.5" customHeight="1">
      <c r="A54" s="434" t="s">
        <v>1594</v>
      </c>
      <c r="IR54"/>
    </row>
    <row r="55" spans="1:252" s="179" customFormat="1" ht="49.5" customHeight="1">
      <c r="A55" s="430" t="s">
        <v>654</v>
      </c>
      <c r="B55" s="391" t="s">
        <v>1132</v>
      </c>
      <c r="C55" s="221" t="s">
        <v>1134</v>
      </c>
      <c r="IQ55"/>
    </row>
    <row r="56" spans="1:252" s="73" customFormat="1" ht="24" customHeight="1">
      <c r="A56" s="431" t="s">
        <v>650</v>
      </c>
      <c r="B56" s="428">
        <v>1599</v>
      </c>
      <c r="C56" s="193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0"/>
      <c r="DX56" s="230"/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230"/>
      <c r="EZ56" s="230"/>
      <c r="FA56" s="230"/>
      <c r="FB56" s="230"/>
      <c r="FC56" s="230"/>
      <c r="FD56" s="230"/>
      <c r="FE56" s="230"/>
      <c r="FF56" s="230"/>
      <c r="FG56" s="230"/>
      <c r="FH56" s="230"/>
      <c r="FI56" s="230"/>
      <c r="FJ56" s="230"/>
      <c r="FK56" s="230"/>
      <c r="FL56" s="230"/>
      <c r="FM56" s="230"/>
      <c r="FN56" s="230"/>
      <c r="FO56" s="230"/>
      <c r="FP56" s="230"/>
      <c r="FQ56" s="230"/>
      <c r="FR56" s="230"/>
      <c r="FS56" s="230"/>
      <c r="FT56" s="230"/>
      <c r="FU56" s="230"/>
      <c r="FV56" s="230"/>
      <c r="FW56" s="230"/>
      <c r="FX56" s="230"/>
      <c r="FY56" s="230"/>
      <c r="FZ56" s="230"/>
      <c r="GA56" s="230"/>
      <c r="GB56" s="230"/>
      <c r="GC56" s="230"/>
      <c r="GD56" s="230"/>
      <c r="GE56" s="230"/>
      <c r="GF56" s="230"/>
      <c r="GG56" s="230"/>
      <c r="GH56" s="230"/>
      <c r="GI56" s="230"/>
      <c r="GJ56" s="230"/>
      <c r="GK56" s="230"/>
      <c r="GL56" s="230"/>
      <c r="GM56" s="230"/>
      <c r="GN56" s="230"/>
      <c r="GO56" s="230"/>
      <c r="GP56" s="230"/>
      <c r="GQ56" s="230"/>
      <c r="GR56" s="230"/>
      <c r="GS56" s="230"/>
      <c r="GT56" s="230"/>
      <c r="GU56" s="230"/>
      <c r="GV56" s="230"/>
      <c r="GW56" s="230"/>
      <c r="GX56" s="230"/>
      <c r="GY56" s="230"/>
      <c r="GZ56" s="230"/>
      <c r="HA56" s="230"/>
      <c r="HB56" s="230"/>
      <c r="HC56" s="230"/>
      <c r="HD56" s="230"/>
      <c r="HE56" s="230"/>
      <c r="HF56" s="230"/>
      <c r="HG56" s="230"/>
      <c r="HH56" s="230"/>
      <c r="HI56" s="230"/>
      <c r="HJ56" s="230"/>
      <c r="HK56" s="230"/>
      <c r="HL56" s="230"/>
      <c r="HM56" s="230"/>
      <c r="HN56" s="230"/>
      <c r="HO56" s="230"/>
      <c r="HP56" s="230"/>
      <c r="HQ56" s="230"/>
      <c r="HR56" s="230"/>
      <c r="HS56" s="230"/>
      <c r="HT56" s="230"/>
      <c r="HU56" s="230"/>
      <c r="HV56" s="230"/>
      <c r="HW56" s="230"/>
      <c r="HX56" s="230"/>
      <c r="HY56" s="230"/>
      <c r="HZ56" s="230"/>
      <c r="IA56" s="230"/>
      <c r="IB56" s="230"/>
      <c r="IC56" s="230"/>
      <c r="ID56" s="230"/>
      <c r="IE56" s="230"/>
      <c r="IF56" s="230"/>
      <c r="IG56" s="230"/>
      <c r="IH56" s="230"/>
      <c r="II56" s="230"/>
      <c r="IJ56" s="230"/>
      <c r="IK56" s="230"/>
      <c r="IL56" s="230"/>
      <c r="IM56" s="230"/>
      <c r="IN56" s="230"/>
      <c r="IO56" s="230"/>
      <c r="IP56" s="230"/>
    </row>
    <row r="57" spans="1:252" s="73" customFormat="1">
      <c r="A57" s="431" t="s">
        <v>594</v>
      </c>
      <c r="B57" s="425">
        <v>17.829999999999998</v>
      </c>
      <c r="C57" s="193" t="e">
        <f>C68+C69+C70+C71+C72+C73+C75+C78+#REF!</f>
        <v>#REF!</v>
      </c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0"/>
      <c r="EM57" s="230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230"/>
      <c r="EZ57" s="230"/>
      <c r="FA57" s="230"/>
      <c r="FB57" s="230"/>
      <c r="FC57" s="230"/>
      <c r="FD57" s="230"/>
      <c r="FE57" s="230"/>
      <c r="FF57" s="230"/>
      <c r="FG57" s="230"/>
      <c r="FH57" s="230"/>
      <c r="FI57" s="230"/>
      <c r="FJ57" s="230"/>
      <c r="FK57" s="230"/>
      <c r="FL57" s="230"/>
      <c r="FM57" s="230"/>
      <c r="FN57" s="230"/>
      <c r="FO57" s="230"/>
      <c r="FP57" s="230"/>
      <c r="FQ57" s="230"/>
      <c r="FR57" s="230"/>
      <c r="FS57" s="230"/>
      <c r="FT57" s="230"/>
      <c r="FU57" s="230"/>
      <c r="FV57" s="230"/>
      <c r="FW57" s="230"/>
      <c r="FX57" s="230"/>
      <c r="FY57" s="230"/>
      <c r="FZ57" s="230"/>
      <c r="GA57" s="230"/>
      <c r="GB57" s="230"/>
      <c r="GC57" s="230"/>
      <c r="GD57" s="230"/>
      <c r="GE57" s="230"/>
      <c r="GF57" s="230"/>
      <c r="GG57" s="230"/>
      <c r="GH57" s="230"/>
      <c r="GI57" s="230"/>
      <c r="GJ57" s="230"/>
      <c r="GK57" s="230"/>
      <c r="GL57" s="230"/>
      <c r="GM57" s="230"/>
      <c r="GN57" s="230"/>
      <c r="GO57" s="230"/>
      <c r="GP57" s="230"/>
      <c r="GQ57" s="230"/>
      <c r="GR57" s="230"/>
      <c r="GS57" s="230"/>
      <c r="GT57" s="230"/>
      <c r="GU57" s="230"/>
      <c r="GV57" s="230"/>
      <c r="GW57" s="230"/>
      <c r="GX57" s="230"/>
      <c r="GY57" s="230"/>
      <c r="GZ57" s="230"/>
      <c r="HA57" s="230"/>
      <c r="HB57" s="230"/>
      <c r="HC57" s="230"/>
      <c r="HD57" s="230"/>
      <c r="HE57" s="230"/>
      <c r="HF57" s="230"/>
      <c r="HG57" s="230"/>
      <c r="HH57" s="230"/>
      <c r="HI57" s="230"/>
      <c r="HJ57" s="230"/>
      <c r="HK57" s="230"/>
      <c r="HL57" s="230"/>
      <c r="HM57" s="230"/>
      <c r="HN57" s="230"/>
      <c r="HO57" s="230"/>
      <c r="HP57" s="230"/>
      <c r="HQ57" s="230"/>
      <c r="HR57" s="230"/>
      <c r="HS57" s="230"/>
      <c r="HT57" s="230"/>
      <c r="HU57" s="230"/>
      <c r="HV57" s="230"/>
      <c r="HW57" s="230"/>
      <c r="HX57" s="230"/>
      <c r="HY57" s="230"/>
      <c r="HZ57" s="230"/>
      <c r="IA57" s="230"/>
      <c r="IB57" s="230"/>
      <c r="IC57" s="230"/>
      <c r="ID57" s="230"/>
      <c r="IE57" s="230"/>
      <c r="IF57" s="230"/>
      <c r="IG57" s="230"/>
      <c r="IH57" s="230"/>
      <c r="II57" s="230"/>
      <c r="IJ57" s="230"/>
      <c r="IK57" s="230"/>
      <c r="IL57" s="230"/>
      <c r="IM57" s="230"/>
      <c r="IN57" s="230"/>
      <c r="IO57" s="230"/>
      <c r="IP57" s="230"/>
    </row>
    <row r="58" spans="1:252" s="73" customFormat="1">
      <c r="A58" s="432" t="s">
        <v>711</v>
      </c>
      <c r="B58" s="423">
        <v>31899.96</v>
      </c>
      <c r="C58" s="193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0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0"/>
      <c r="ET58" s="230"/>
      <c r="EU58" s="230"/>
      <c r="EV58" s="230"/>
      <c r="EW58" s="230"/>
      <c r="EX58" s="230"/>
      <c r="EY58" s="230"/>
      <c r="EZ58" s="230"/>
      <c r="FA58" s="230"/>
      <c r="FB58" s="230"/>
      <c r="FC58" s="230"/>
      <c r="FD58" s="230"/>
      <c r="FE58" s="230"/>
      <c r="FF58" s="230"/>
      <c r="FG58" s="230"/>
      <c r="FH58" s="230"/>
      <c r="FI58" s="230"/>
      <c r="FJ58" s="230"/>
      <c r="FK58" s="230"/>
      <c r="FL58" s="230"/>
      <c r="FM58" s="230"/>
      <c r="FN58" s="230"/>
      <c r="FO58" s="230"/>
      <c r="FP58" s="230"/>
      <c r="FQ58" s="230"/>
      <c r="FR58" s="230"/>
      <c r="FS58" s="230"/>
      <c r="FT58" s="230"/>
      <c r="FU58" s="230"/>
      <c r="FV58" s="230"/>
      <c r="FW58" s="230"/>
      <c r="FX58" s="230"/>
      <c r="FY58" s="230"/>
      <c r="FZ58" s="230"/>
      <c r="GA58" s="230"/>
      <c r="GB58" s="230"/>
      <c r="GC58" s="230"/>
      <c r="GD58" s="230"/>
      <c r="GE58" s="230"/>
      <c r="GF58" s="230"/>
      <c r="GG58" s="230"/>
      <c r="GH58" s="230"/>
      <c r="GI58" s="230"/>
      <c r="GJ58" s="230"/>
      <c r="GK58" s="230"/>
      <c r="GL58" s="230"/>
      <c r="GM58" s="230"/>
      <c r="GN58" s="230"/>
      <c r="GO58" s="230"/>
      <c r="GP58" s="230"/>
      <c r="GQ58" s="230"/>
      <c r="GR58" s="230"/>
      <c r="GS58" s="230"/>
      <c r="GT58" s="230"/>
      <c r="GU58" s="230"/>
      <c r="GV58" s="230"/>
      <c r="GW58" s="230"/>
      <c r="GX58" s="230"/>
      <c r="GY58" s="230"/>
      <c r="GZ58" s="230"/>
      <c r="HA58" s="230"/>
      <c r="HB58" s="230"/>
      <c r="HC58" s="230"/>
      <c r="HD58" s="230"/>
      <c r="HE58" s="230"/>
      <c r="HF58" s="230"/>
      <c r="HG58" s="230"/>
      <c r="HH58" s="230"/>
      <c r="HI58" s="230"/>
      <c r="HJ58" s="230"/>
      <c r="HK58" s="230"/>
      <c r="HL58" s="230"/>
      <c r="HM58" s="230"/>
      <c r="HN58" s="230"/>
      <c r="HO58" s="230"/>
      <c r="HP58" s="230"/>
      <c r="HQ58" s="230"/>
      <c r="HR58" s="230"/>
      <c r="HS58" s="230"/>
      <c r="HT58" s="230"/>
      <c r="HU58" s="230"/>
      <c r="HV58" s="230"/>
      <c r="HW58" s="230"/>
      <c r="HX58" s="230"/>
      <c r="HY58" s="230"/>
      <c r="HZ58" s="230"/>
      <c r="IA58" s="230"/>
      <c r="IB58" s="230"/>
      <c r="IC58" s="230"/>
      <c r="ID58" s="230"/>
      <c r="IE58" s="230"/>
      <c r="IF58" s="230"/>
      <c r="IG58" s="230"/>
      <c r="IH58" s="230"/>
      <c r="II58" s="230"/>
      <c r="IJ58" s="230"/>
      <c r="IK58" s="230"/>
      <c r="IL58" s="230"/>
      <c r="IM58" s="230"/>
      <c r="IN58" s="230"/>
      <c r="IO58" s="230"/>
      <c r="IP58" s="230"/>
    </row>
    <row r="59" spans="1:252" s="73" customFormat="1">
      <c r="A59" s="432" t="s">
        <v>1123</v>
      </c>
      <c r="B59" s="423">
        <v>342122.4</v>
      </c>
      <c r="C59" s="193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  <c r="DT59" s="230"/>
      <c r="DU59" s="230"/>
      <c r="DV59" s="230"/>
      <c r="DW59" s="230"/>
      <c r="DX59" s="230"/>
      <c r="DY59" s="230"/>
      <c r="DZ59" s="230"/>
      <c r="EA59" s="230"/>
      <c r="EB59" s="230"/>
      <c r="EC59" s="230"/>
      <c r="ED59" s="230"/>
      <c r="EE59" s="230"/>
      <c r="EF59" s="230"/>
      <c r="EG59" s="230"/>
      <c r="EH59" s="230"/>
      <c r="EI59" s="230"/>
      <c r="EJ59" s="230"/>
      <c r="EK59" s="230"/>
      <c r="EL59" s="230"/>
      <c r="EM59" s="230"/>
      <c r="EN59" s="230"/>
      <c r="EO59" s="230"/>
      <c r="EP59" s="230"/>
      <c r="EQ59" s="230"/>
      <c r="ER59" s="230"/>
      <c r="ES59" s="230"/>
      <c r="ET59" s="230"/>
      <c r="EU59" s="230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230"/>
      <c r="FO59" s="230"/>
      <c r="FP59" s="230"/>
      <c r="FQ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0"/>
      <c r="GD59" s="230"/>
      <c r="GE59" s="230"/>
      <c r="GF59" s="230"/>
      <c r="GG59" s="230"/>
      <c r="GH59" s="230"/>
      <c r="GI59" s="230"/>
      <c r="GJ59" s="230"/>
      <c r="GK59" s="230"/>
      <c r="GL59" s="230"/>
      <c r="GM59" s="230"/>
      <c r="GN59" s="230"/>
      <c r="GO59" s="230"/>
      <c r="GP59" s="230"/>
      <c r="GQ59" s="230"/>
      <c r="GR59" s="230"/>
      <c r="GS59" s="230"/>
      <c r="GT59" s="230"/>
      <c r="GU59" s="230"/>
      <c r="GV59" s="230"/>
      <c r="GW59" s="230"/>
      <c r="GX59" s="230"/>
      <c r="GY59" s="230"/>
      <c r="GZ59" s="230"/>
      <c r="HA59" s="230"/>
      <c r="HB59" s="230"/>
      <c r="HC59" s="230"/>
      <c r="HD59" s="230"/>
      <c r="HE59" s="230"/>
      <c r="HF59" s="230"/>
      <c r="HG59" s="230"/>
      <c r="HH59" s="230"/>
      <c r="HI59" s="230"/>
      <c r="HJ59" s="230"/>
      <c r="HK59" s="230"/>
      <c r="HL59" s="230"/>
      <c r="HM59" s="230"/>
      <c r="HN59" s="230"/>
      <c r="HO59" s="230"/>
      <c r="HP59" s="230"/>
      <c r="HQ59" s="230"/>
      <c r="HR59" s="230"/>
      <c r="HS59" s="230"/>
      <c r="HT59" s="230"/>
      <c r="HU59" s="230"/>
      <c r="HV59" s="230"/>
      <c r="HW59" s="230"/>
      <c r="HX59" s="230"/>
      <c r="HY59" s="230"/>
      <c r="HZ59" s="230"/>
      <c r="IA59" s="230"/>
      <c r="IB59" s="230"/>
      <c r="IC59" s="230"/>
      <c r="ID59" s="230"/>
      <c r="IE59" s="230"/>
      <c r="IF59" s="230"/>
      <c r="IG59" s="230"/>
      <c r="IH59" s="230"/>
      <c r="II59" s="230"/>
      <c r="IJ59" s="230"/>
      <c r="IK59" s="230"/>
      <c r="IL59" s="230"/>
      <c r="IM59" s="230"/>
      <c r="IN59" s="230"/>
      <c r="IO59" s="230"/>
      <c r="IP59" s="230"/>
    </row>
    <row r="60" spans="1:252" s="73" customFormat="1">
      <c r="A60" s="432" t="s">
        <v>596</v>
      </c>
      <c r="B60" s="423">
        <v>12268.23</v>
      </c>
      <c r="C60" s="193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  <c r="FF60" s="230"/>
      <c r="FG60" s="230"/>
      <c r="FH60" s="230"/>
      <c r="FI60" s="230"/>
      <c r="FJ60" s="230"/>
      <c r="FK60" s="230"/>
      <c r="FL60" s="230"/>
      <c r="FM60" s="230"/>
      <c r="FN60" s="230"/>
      <c r="FO60" s="230"/>
      <c r="FP60" s="230"/>
      <c r="FQ60" s="230"/>
      <c r="FR60" s="230"/>
      <c r="FS60" s="230"/>
      <c r="FT60" s="230"/>
      <c r="FU60" s="230"/>
      <c r="FV60" s="230"/>
      <c r="FW60" s="230"/>
      <c r="FX60" s="230"/>
      <c r="FY60" s="230"/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230"/>
      <c r="GK60" s="230"/>
      <c r="GL60" s="230"/>
      <c r="GM60" s="230"/>
      <c r="GN60" s="230"/>
      <c r="GO60" s="230"/>
      <c r="GP60" s="230"/>
      <c r="GQ60" s="230"/>
      <c r="GR60" s="230"/>
      <c r="GS60" s="230"/>
      <c r="GT60" s="230"/>
      <c r="GU60" s="230"/>
      <c r="GV60" s="230"/>
      <c r="GW60" s="230"/>
      <c r="GX60" s="230"/>
      <c r="GY60" s="230"/>
      <c r="GZ60" s="230"/>
      <c r="HA60" s="230"/>
      <c r="HB60" s="230"/>
      <c r="HC60" s="230"/>
      <c r="HD60" s="230"/>
      <c r="HE60" s="230"/>
      <c r="HF60" s="230"/>
      <c r="HG60" s="230"/>
      <c r="HH60" s="230"/>
      <c r="HI60" s="230"/>
      <c r="HJ60" s="230"/>
      <c r="HK60" s="230"/>
      <c r="HL60" s="230"/>
      <c r="HM60" s="230"/>
      <c r="HN60" s="230"/>
      <c r="HO60" s="230"/>
      <c r="HP60" s="230"/>
      <c r="HQ60" s="230"/>
      <c r="HR60" s="230"/>
      <c r="HS60" s="230"/>
      <c r="HT60" s="230"/>
      <c r="HU60" s="230"/>
      <c r="HV60" s="230"/>
      <c r="HW60" s="230"/>
      <c r="HX60" s="230"/>
      <c r="HY60" s="230"/>
      <c r="HZ60" s="230"/>
      <c r="IA60" s="230"/>
      <c r="IB60" s="230"/>
      <c r="IC60" s="230"/>
      <c r="ID60" s="230"/>
      <c r="IE60" s="230"/>
      <c r="IF60" s="230"/>
      <c r="IG60" s="230"/>
      <c r="IH60" s="230"/>
      <c r="II60" s="230"/>
      <c r="IJ60" s="230"/>
      <c r="IK60" s="230"/>
      <c r="IL60" s="230"/>
      <c r="IM60" s="230"/>
      <c r="IN60" s="230"/>
      <c r="IO60" s="230"/>
      <c r="IP60" s="230"/>
    </row>
    <row r="61" spans="1:252" s="73" customFormat="1">
      <c r="A61" s="432" t="s">
        <v>1126</v>
      </c>
      <c r="B61" s="423">
        <v>0</v>
      </c>
      <c r="C61" s="193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0"/>
      <c r="DX61" s="230"/>
      <c r="DY61" s="230"/>
      <c r="DZ61" s="230"/>
      <c r="EA61" s="230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0"/>
      <c r="EP61" s="230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0"/>
      <c r="FF61" s="230"/>
      <c r="FG61" s="230"/>
      <c r="FH61" s="230"/>
      <c r="FI61" s="230"/>
      <c r="FJ61" s="230"/>
      <c r="FK61" s="230"/>
      <c r="FL61" s="230"/>
      <c r="FM61" s="230"/>
      <c r="FN61" s="230"/>
      <c r="FO61" s="230"/>
      <c r="FP61" s="230"/>
      <c r="FQ61" s="230"/>
      <c r="FR61" s="230"/>
      <c r="FS61" s="230"/>
      <c r="FT61" s="230"/>
      <c r="FU61" s="230"/>
      <c r="FV61" s="230"/>
      <c r="FW61" s="230"/>
      <c r="FX61" s="230"/>
      <c r="FY61" s="230"/>
      <c r="FZ61" s="230"/>
      <c r="GA61" s="230"/>
      <c r="GB61" s="230"/>
      <c r="GC61" s="230"/>
      <c r="GD61" s="230"/>
      <c r="GE61" s="230"/>
      <c r="GF61" s="230"/>
      <c r="GG61" s="230"/>
      <c r="GH61" s="230"/>
      <c r="GI61" s="230"/>
      <c r="GJ61" s="230"/>
      <c r="GK61" s="230"/>
      <c r="GL61" s="230"/>
      <c r="GM61" s="230"/>
      <c r="GN61" s="230"/>
      <c r="GO61" s="230"/>
      <c r="GP61" s="230"/>
      <c r="GQ61" s="230"/>
      <c r="GR61" s="230"/>
      <c r="GS61" s="230"/>
      <c r="GT61" s="230"/>
      <c r="GU61" s="230"/>
      <c r="GV61" s="230"/>
      <c r="GW61" s="230"/>
      <c r="GX61" s="230"/>
      <c r="GY61" s="230"/>
      <c r="GZ61" s="230"/>
      <c r="HA61" s="230"/>
      <c r="HB61" s="230"/>
      <c r="HC61" s="230"/>
      <c r="HD61" s="230"/>
      <c r="HE61" s="230"/>
      <c r="HF61" s="230"/>
      <c r="HG61" s="230"/>
      <c r="HH61" s="230"/>
      <c r="HI61" s="230"/>
      <c r="HJ61" s="230"/>
      <c r="HK61" s="230"/>
      <c r="HL61" s="230"/>
      <c r="HM61" s="230"/>
      <c r="HN61" s="230"/>
      <c r="HO61" s="230"/>
      <c r="HP61" s="230"/>
      <c r="HQ61" s="230"/>
      <c r="HR61" s="230"/>
      <c r="HS61" s="230"/>
      <c r="HT61" s="230"/>
      <c r="HU61" s="230"/>
      <c r="HV61" s="230"/>
      <c r="HW61" s="230"/>
      <c r="HX61" s="230"/>
      <c r="HY61" s="230"/>
      <c r="HZ61" s="230"/>
      <c r="IA61" s="230"/>
      <c r="IB61" s="230"/>
      <c r="IC61" s="230"/>
      <c r="ID61" s="230"/>
      <c r="IE61" s="230"/>
      <c r="IF61" s="230"/>
      <c r="IG61" s="230"/>
      <c r="IH61" s="230"/>
      <c r="II61" s="230"/>
      <c r="IJ61" s="230"/>
      <c r="IK61" s="230"/>
      <c r="IL61" s="230"/>
      <c r="IM61" s="230"/>
      <c r="IN61" s="230"/>
      <c r="IO61" s="230"/>
      <c r="IP61" s="230"/>
    </row>
    <row r="62" spans="1:252" s="73" customFormat="1">
      <c r="A62" s="432" t="s">
        <v>798</v>
      </c>
      <c r="B62" s="423">
        <f>B58+B59+B60-B63-50000</f>
        <v>242516.27000000002</v>
      </c>
      <c r="C62" s="193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0"/>
      <c r="FF62" s="230"/>
      <c r="FG62" s="230"/>
      <c r="FH62" s="230"/>
      <c r="FI62" s="230"/>
      <c r="FJ62" s="230"/>
      <c r="FK62" s="230"/>
      <c r="FL62" s="230"/>
      <c r="FM62" s="230"/>
      <c r="FN62" s="230"/>
      <c r="FO62" s="230"/>
      <c r="FP62" s="230"/>
      <c r="FQ62" s="230"/>
      <c r="FR62" s="230"/>
      <c r="FS62" s="230"/>
      <c r="FT62" s="230"/>
      <c r="FU62" s="230"/>
      <c r="FV62" s="230"/>
      <c r="FW62" s="230"/>
      <c r="FX62" s="230"/>
      <c r="FY62" s="230"/>
      <c r="FZ62" s="230"/>
      <c r="GA62" s="230"/>
      <c r="GB62" s="230"/>
      <c r="GC62" s="230"/>
      <c r="GD62" s="230"/>
      <c r="GE62" s="230"/>
      <c r="GF62" s="230"/>
      <c r="GG62" s="230"/>
      <c r="GH62" s="230"/>
      <c r="GI62" s="230"/>
      <c r="GJ62" s="230"/>
      <c r="GK62" s="230"/>
      <c r="GL62" s="230"/>
      <c r="GM62" s="230"/>
      <c r="GN62" s="230"/>
      <c r="GO62" s="230"/>
      <c r="GP62" s="230"/>
      <c r="GQ62" s="230"/>
      <c r="GR62" s="230"/>
      <c r="GS62" s="230"/>
      <c r="GT62" s="230"/>
      <c r="GU62" s="230"/>
      <c r="GV62" s="230"/>
      <c r="GW62" s="230"/>
      <c r="GX62" s="230"/>
      <c r="GY62" s="230"/>
      <c r="GZ62" s="230"/>
      <c r="HA62" s="230"/>
      <c r="HB62" s="230"/>
      <c r="HC62" s="230"/>
      <c r="HD62" s="230"/>
      <c r="HE62" s="230"/>
      <c r="HF62" s="230"/>
      <c r="HG62" s="230"/>
      <c r="HH62" s="230"/>
      <c r="HI62" s="230"/>
      <c r="HJ62" s="230"/>
      <c r="HK62" s="230"/>
      <c r="HL62" s="230"/>
      <c r="HM62" s="230"/>
      <c r="HN62" s="230"/>
      <c r="HO62" s="230"/>
      <c r="HP62" s="230"/>
      <c r="HQ62" s="230"/>
      <c r="HR62" s="230"/>
      <c r="HS62" s="230"/>
      <c r="HT62" s="230"/>
      <c r="HU62" s="230"/>
      <c r="HV62" s="230"/>
      <c r="HW62" s="230"/>
      <c r="HX62" s="230"/>
      <c r="HY62" s="230"/>
      <c r="HZ62" s="230"/>
      <c r="IA62" s="230"/>
      <c r="IB62" s="230"/>
      <c r="IC62" s="230"/>
      <c r="ID62" s="230"/>
      <c r="IE62" s="230"/>
      <c r="IF62" s="230"/>
      <c r="IG62" s="230"/>
      <c r="IH62" s="230"/>
      <c r="II62" s="230"/>
      <c r="IJ62" s="230"/>
      <c r="IK62" s="230"/>
      <c r="IL62" s="230"/>
      <c r="IM62" s="230"/>
      <c r="IN62" s="230"/>
      <c r="IO62" s="230"/>
      <c r="IP62" s="230"/>
    </row>
    <row r="63" spans="1:252" s="73" customFormat="1">
      <c r="A63" s="432" t="s">
        <v>1124</v>
      </c>
      <c r="B63" s="423">
        <v>93774.32</v>
      </c>
      <c r="C63" s="193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  <c r="GJ63" s="230"/>
      <c r="GK63" s="230"/>
      <c r="GL63" s="230"/>
      <c r="GM63" s="230"/>
      <c r="GN63" s="230"/>
      <c r="GO63" s="230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30"/>
      <c r="HA63" s="230"/>
      <c r="HB63" s="230"/>
      <c r="HC63" s="230"/>
      <c r="HD63" s="230"/>
      <c r="HE63" s="230"/>
      <c r="HF63" s="230"/>
      <c r="HG63" s="230"/>
      <c r="HH63" s="230"/>
      <c r="HI63" s="230"/>
      <c r="HJ63" s="230"/>
      <c r="HK63" s="230"/>
      <c r="HL63" s="230"/>
      <c r="HM63" s="230"/>
      <c r="HN63" s="230"/>
      <c r="HO63" s="230"/>
      <c r="HP63" s="230"/>
      <c r="HQ63" s="230"/>
      <c r="HR63" s="230"/>
      <c r="HS63" s="230"/>
      <c r="HT63" s="230"/>
      <c r="HU63" s="230"/>
      <c r="HV63" s="230"/>
      <c r="HW63" s="230"/>
      <c r="HX63" s="230"/>
      <c r="HY63" s="230"/>
      <c r="HZ63" s="230"/>
      <c r="IA63" s="230"/>
      <c r="IB63" s="230"/>
      <c r="IC63" s="230"/>
      <c r="ID63" s="230"/>
      <c r="IE63" s="230"/>
      <c r="IF63" s="230"/>
      <c r="IG63" s="230"/>
      <c r="IH63" s="230"/>
      <c r="II63" s="230"/>
      <c r="IJ63" s="230"/>
      <c r="IK63" s="230"/>
      <c r="IL63" s="230"/>
      <c r="IM63" s="230"/>
      <c r="IN63" s="230"/>
      <c r="IO63" s="230"/>
      <c r="IP63" s="230"/>
    </row>
    <row r="64" spans="1:252" s="73" customFormat="1" ht="29.25" customHeight="1">
      <c r="A64" s="435" t="s">
        <v>1555</v>
      </c>
      <c r="B64" s="425">
        <f>B62</f>
        <v>242516.27000000002</v>
      </c>
      <c r="C64" s="193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</row>
    <row r="65" spans="1:250">
      <c r="A65" s="433"/>
      <c r="B65" s="393"/>
      <c r="C65" s="392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9"/>
      <c r="GL65" s="179"/>
      <c r="GM65" s="179"/>
      <c r="GN65" s="179"/>
      <c r="GO65" s="179"/>
      <c r="GP65" s="179"/>
      <c r="GQ65" s="179"/>
      <c r="GR65" s="179"/>
      <c r="GS65" s="179"/>
      <c r="GT65" s="179"/>
      <c r="GU65" s="179"/>
      <c r="GV65" s="179"/>
      <c r="GW65" s="179"/>
      <c r="GX65" s="179"/>
      <c r="GY65" s="179"/>
      <c r="GZ65" s="179"/>
      <c r="HA65" s="179"/>
      <c r="HB65" s="179"/>
      <c r="HC65" s="179"/>
      <c r="HD65" s="179"/>
      <c r="HE65" s="179"/>
      <c r="HF65" s="179"/>
      <c r="HG65" s="179"/>
      <c r="HH65" s="179"/>
      <c r="HI65" s="179"/>
      <c r="HJ65" s="179"/>
      <c r="HK65" s="179"/>
      <c r="HL65" s="179"/>
      <c r="HM65" s="179"/>
      <c r="HN65" s="179"/>
      <c r="HO65" s="179"/>
      <c r="HP65" s="179"/>
      <c r="HQ65" s="179"/>
      <c r="HR65" s="179"/>
      <c r="HS65" s="179"/>
      <c r="HT65" s="179"/>
      <c r="HU65" s="179"/>
      <c r="HV65" s="179"/>
      <c r="HW65" s="179"/>
      <c r="HX65" s="179"/>
      <c r="HY65" s="179"/>
      <c r="HZ65" s="179"/>
      <c r="IA65" s="179"/>
      <c r="IB65" s="179"/>
      <c r="IC65" s="179"/>
      <c r="ID65" s="179"/>
      <c r="IE65" s="179"/>
      <c r="IF65" s="179"/>
      <c r="IG65" s="179"/>
      <c r="IH65" s="179"/>
      <c r="II65" s="179"/>
      <c r="IJ65" s="179"/>
      <c r="IK65" s="179"/>
      <c r="IL65" s="179"/>
      <c r="IM65" s="179"/>
      <c r="IN65" s="179"/>
      <c r="IO65" s="179"/>
      <c r="IP65" s="179"/>
    </row>
    <row r="66" spans="1:250" s="73" customFormat="1">
      <c r="A66" s="431" t="s">
        <v>1130</v>
      </c>
      <c r="B66" s="436">
        <f>B68+B69+B70+B72+B73+B75+B78+B76+B77+B71+B79</f>
        <v>222263.01012284512</v>
      </c>
      <c r="C66" s="193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0"/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230"/>
      <c r="FO66" s="230"/>
      <c r="FP66" s="230"/>
      <c r="FQ66" s="230"/>
      <c r="FR66" s="230"/>
      <c r="FS66" s="230"/>
      <c r="FT66" s="230"/>
      <c r="FU66" s="230"/>
      <c r="FV66" s="230"/>
      <c r="FW66" s="230"/>
      <c r="FX66" s="230"/>
      <c r="FY66" s="230"/>
      <c r="FZ66" s="230"/>
      <c r="GA66" s="230"/>
      <c r="GB66" s="230"/>
      <c r="GC66" s="230"/>
      <c r="GD66" s="230"/>
      <c r="GE66" s="230"/>
      <c r="GF66" s="230"/>
      <c r="GG66" s="230"/>
      <c r="GH66" s="230"/>
      <c r="GI66" s="230"/>
      <c r="GJ66" s="230"/>
      <c r="GK66" s="230"/>
      <c r="GL66" s="230"/>
      <c r="GM66" s="230"/>
      <c r="GN66" s="230"/>
      <c r="GO66" s="230"/>
      <c r="GP66" s="230"/>
      <c r="GQ66" s="230"/>
      <c r="GR66" s="230"/>
      <c r="GS66" s="230"/>
      <c r="GT66" s="230"/>
      <c r="GU66" s="230"/>
      <c r="GV66" s="230"/>
      <c r="GW66" s="230"/>
      <c r="GX66" s="230"/>
      <c r="GY66" s="230"/>
      <c r="GZ66" s="230"/>
      <c r="HA66" s="230"/>
      <c r="HB66" s="230"/>
      <c r="HC66" s="230"/>
      <c r="HD66" s="230"/>
      <c r="HE66" s="230"/>
      <c r="HF66" s="230"/>
      <c r="HG66" s="230"/>
      <c r="HH66" s="230"/>
      <c r="HI66" s="230"/>
      <c r="HJ66" s="230"/>
      <c r="HK66" s="230"/>
      <c r="HL66" s="230"/>
      <c r="HM66" s="230"/>
      <c r="HN66" s="230"/>
      <c r="HO66" s="230"/>
      <c r="HP66" s="230"/>
      <c r="HQ66" s="230"/>
      <c r="HR66" s="230"/>
      <c r="HS66" s="230"/>
      <c r="HT66" s="230"/>
      <c r="HU66" s="230"/>
      <c r="HV66" s="230"/>
      <c r="HW66" s="230"/>
      <c r="HX66" s="230"/>
      <c r="HY66" s="230"/>
      <c r="HZ66" s="230"/>
      <c r="IA66" s="230"/>
      <c r="IB66" s="230"/>
      <c r="IC66" s="230"/>
      <c r="ID66" s="230"/>
      <c r="IE66" s="230"/>
      <c r="IF66" s="230"/>
      <c r="IG66" s="230"/>
      <c r="IH66" s="230"/>
      <c r="II66" s="230"/>
      <c r="IJ66" s="230"/>
      <c r="IK66" s="230"/>
      <c r="IL66" s="230"/>
      <c r="IM66" s="230"/>
      <c r="IN66" s="230"/>
      <c r="IO66" s="230"/>
      <c r="IP66" s="230"/>
    </row>
    <row r="67" spans="1:250" s="73" customFormat="1">
      <c r="A67" s="432" t="s">
        <v>599</v>
      </c>
      <c r="B67" s="423"/>
      <c r="C67" s="193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0"/>
      <c r="DX67" s="230"/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0"/>
      <c r="EK67" s="230"/>
      <c r="EL67" s="230"/>
      <c r="EM67" s="230"/>
      <c r="EN67" s="230"/>
      <c r="EO67" s="230"/>
      <c r="EP67" s="230"/>
      <c r="EQ67" s="230"/>
      <c r="ER67" s="230"/>
      <c r="ES67" s="230"/>
      <c r="ET67" s="230"/>
      <c r="EU67" s="230"/>
      <c r="EV67" s="230"/>
      <c r="EW67" s="230"/>
      <c r="EX67" s="230"/>
      <c r="EY67" s="230"/>
      <c r="EZ67" s="230"/>
      <c r="FA67" s="230"/>
      <c r="FB67" s="230"/>
      <c r="FC67" s="230"/>
      <c r="FD67" s="230"/>
      <c r="FE67" s="230"/>
      <c r="FF67" s="230"/>
      <c r="FG67" s="230"/>
      <c r="FH67" s="230"/>
      <c r="FI67" s="230"/>
      <c r="FJ67" s="230"/>
      <c r="FK67" s="230"/>
      <c r="FL67" s="230"/>
      <c r="FM67" s="230"/>
      <c r="FN67" s="230"/>
      <c r="FO67" s="230"/>
      <c r="FP67" s="230"/>
      <c r="FQ67" s="230"/>
      <c r="FR67" s="230"/>
      <c r="FS67" s="230"/>
      <c r="FT67" s="230"/>
      <c r="FU67" s="230"/>
      <c r="FV67" s="230"/>
      <c r="FW67" s="230"/>
      <c r="FX67" s="230"/>
      <c r="FY67" s="230"/>
      <c r="FZ67" s="230"/>
      <c r="GA67" s="230"/>
      <c r="GB67" s="230"/>
      <c r="GC67" s="230"/>
      <c r="GD67" s="230"/>
      <c r="GE67" s="230"/>
      <c r="GF67" s="230"/>
      <c r="GG67" s="230"/>
      <c r="GH67" s="230"/>
      <c r="GI67" s="230"/>
      <c r="GJ67" s="230"/>
      <c r="GK67" s="230"/>
      <c r="GL67" s="230"/>
      <c r="GM67" s="230"/>
      <c r="GN67" s="230"/>
      <c r="GO67" s="230"/>
      <c r="GP67" s="230"/>
      <c r="GQ67" s="230"/>
      <c r="GR67" s="230"/>
      <c r="GS67" s="230"/>
      <c r="GT67" s="230"/>
      <c r="GU67" s="230"/>
      <c r="GV67" s="230"/>
      <c r="GW67" s="230"/>
      <c r="GX67" s="230"/>
      <c r="GY67" s="230"/>
      <c r="GZ67" s="230"/>
      <c r="HA67" s="230"/>
      <c r="HB67" s="230"/>
      <c r="HC67" s="230"/>
      <c r="HD67" s="230"/>
      <c r="HE67" s="230"/>
      <c r="HF67" s="230"/>
      <c r="HG67" s="230"/>
      <c r="HH67" s="230"/>
      <c r="HI67" s="230"/>
      <c r="HJ67" s="230"/>
      <c r="HK67" s="230"/>
      <c r="HL67" s="230"/>
      <c r="HM67" s="230"/>
      <c r="HN67" s="230"/>
      <c r="HO67" s="230"/>
      <c r="HP67" s="230"/>
      <c r="HQ67" s="230"/>
      <c r="HR67" s="230"/>
      <c r="HS67" s="230"/>
      <c r="HT67" s="230"/>
      <c r="HU67" s="230"/>
      <c r="HV67" s="230"/>
      <c r="HW67" s="230"/>
      <c r="HX67" s="230"/>
      <c r="HY67" s="230"/>
      <c r="HZ67" s="230"/>
      <c r="IA67" s="230"/>
      <c r="IB67" s="230"/>
      <c r="IC67" s="230"/>
      <c r="ID67" s="230"/>
      <c r="IE67" s="230"/>
      <c r="IF67" s="230"/>
      <c r="IG67" s="230"/>
      <c r="IH67" s="230"/>
      <c r="II67" s="230"/>
      <c r="IJ67" s="230"/>
      <c r="IK67" s="230"/>
      <c r="IL67" s="230"/>
      <c r="IM67" s="230"/>
      <c r="IN67" s="230"/>
      <c r="IO67" s="230"/>
      <c r="IP67" s="230"/>
    </row>
    <row r="68" spans="1:250" s="73" customFormat="1">
      <c r="A68" s="432" t="s">
        <v>521</v>
      </c>
      <c r="B68" s="421">
        <f>959300/45797.5*B56*1.9</f>
        <v>63637.738522845124</v>
      </c>
      <c r="C68" s="193">
        <f>ROUND(B68/B56/12,2)</f>
        <v>3.32</v>
      </c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  <c r="FI68" s="230"/>
      <c r="FJ68" s="230"/>
      <c r="FK68" s="230"/>
      <c r="FL68" s="230"/>
      <c r="FM68" s="230"/>
      <c r="FN68" s="230"/>
      <c r="FO68" s="230"/>
      <c r="FP68" s="230"/>
      <c r="FQ68" s="230"/>
      <c r="FR68" s="230"/>
      <c r="FS68" s="230"/>
      <c r="FT68" s="230"/>
      <c r="FU68" s="230"/>
      <c r="FV68" s="230"/>
      <c r="FW68" s="230"/>
      <c r="FX68" s="230"/>
      <c r="FY68" s="230"/>
      <c r="FZ68" s="230"/>
      <c r="GA68" s="230"/>
      <c r="GB68" s="230"/>
      <c r="GC68" s="230"/>
      <c r="GD68" s="230"/>
      <c r="GE68" s="230"/>
      <c r="GF68" s="230"/>
      <c r="GG68" s="230"/>
      <c r="GH68" s="230"/>
      <c r="GI68" s="230"/>
      <c r="GJ68" s="230"/>
      <c r="GK68" s="230"/>
      <c r="GL68" s="230"/>
      <c r="GM68" s="230"/>
      <c r="GN68" s="230"/>
      <c r="GO68" s="230"/>
      <c r="GP68" s="230"/>
      <c r="GQ68" s="230"/>
      <c r="GR68" s="230"/>
      <c r="GS68" s="230"/>
      <c r="GT68" s="230"/>
      <c r="GU68" s="230"/>
      <c r="GV68" s="230"/>
      <c r="GW68" s="230"/>
      <c r="GX68" s="230"/>
      <c r="GY68" s="230"/>
      <c r="GZ68" s="230"/>
      <c r="HA68" s="230"/>
      <c r="HB68" s="230"/>
      <c r="HC68" s="230"/>
      <c r="HD68" s="230"/>
      <c r="HE68" s="230"/>
      <c r="HF68" s="230"/>
      <c r="HG68" s="230"/>
      <c r="HH68" s="230"/>
      <c r="HI68" s="230"/>
      <c r="HJ68" s="230"/>
      <c r="HK68" s="230"/>
      <c r="HL68" s="230"/>
      <c r="HM68" s="230"/>
      <c r="HN68" s="230"/>
      <c r="HO68" s="230"/>
      <c r="HP68" s="230"/>
      <c r="HQ68" s="230"/>
      <c r="HR68" s="230"/>
      <c r="HS68" s="230"/>
      <c r="HT68" s="230"/>
      <c r="HU68" s="230"/>
      <c r="HV68" s="230"/>
      <c r="HW68" s="230"/>
      <c r="HX68" s="230"/>
      <c r="HY68" s="230"/>
      <c r="HZ68" s="230"/>
      <c r="IA68" s="230"/>
      <c r="IB68" s="230"/>
      <c r="IC68" s="230"/>
      <c r="ID68" s="230"/>
      <c r="IE68" s="230"/>
      <c r="IF68" s="230"/>
      <c r="IG68" s="230"/>
      <c r="IH68" s="230"/>
      <c r="II68" s="230"/>
      <c r="IJ68" s="230"/>
      <c r="IK68" s="230"/>
      <c r="IL68" s="230"/>
      <c r="IM68" s="230"/>
      <c r="IN68" s="230"/>
      <c r="IO68" s="230"/>
      <c r="IP68" s="230"/>
    </row>
    <row r="69" spans="1:250" s="73" customFormat="1">
      <c r="A69" s="432" t="s">
        <v>520</v>
      </c>
      <c r="B69" s="421">
        <f>0.89*B56*12*1.9+10842</f>
        <v>43288.907999999996</v>
      </c>
      <c r="C69" s="193">
        <f>ROUND(B69/B56/12,2)</f>
        <v>2.2599999999999998</v>
      </c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0"/>
      <c r="CZ69" s="230"/>
      <c r="DA69" s="230"/>
      <c r="DB69" s="230"/>
      <c r="DC69" s="230"/>
      <c r="DD69" s="230"/>
      <c r="DE69" s="230"/>
      <c r="DF69" s="230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0"/>
      <c r="DS69" s="230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0"/>
      <c r="EF69" s="230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0"/>
      <c r="ES69" s="230"/>
      <c r="ET69" s="230"/>
      <c r="EU69" s="230"/>
      <c r="EV69" s="230"/>
      <c r="EW69" s="230"/>
      <c r="EX69" s="230"/>
      <c r="EY69" s="230"/>
      <c r="EZ69" s="230"/>
      <c r="FA69" s="230"/>
      <c r="FB69" s="230"/>
      <c r="FC69" s="230"/>
      <c r="FD69" s="230"/>
      <c r="FE69" s="230"/>
      <c r="FF69" s="230"/>
      <c r="FG69" s="230"/>
      <c r="FH69" s="230"/>
      <c r="FI69" s="230"/>
      <c r="FJ69" s="230"/>
      <c r="FK69" s="230"/>
      <c r="FL69" s="230"/>
      <c r="FM69" s="230"/>
      <c r="FN69" s="230"/>
      <c r="FO69" s="230"/>
      <c r="FP69" s="230"/>
      <c r="FQ69" s="230"/>
      <c r="FR69" s="230"/>
      <c r="FS69" s="230"/>
      <c r="FT69" s="230"/>
      <c r="FU69" s="230"/>
      <c r="FV69" s="230"/>
      <c r="FW69" s="230"/>
      <c r="FX69" s="230"/>
      <c r="FY69" s="230"/>
      <c r="FZ69" s="230"/>
      <c r="GA69" s="230"/>
      <c r="GB69" s="230"/>
      <c r="GC69" s="230"/>
      <c r="GD69" s="230"/>
      <c r="GE69" s="230"/>
      <c r="GF69" s="230"/>
      <c r="GG69" s="230"/>
      <c r="GH69" s="230"/>
      <c r="GI69" s="230"/>
      <c r="GJ69" s="230"/>
      <c r="GK69" s="230"/>
      <c r="GL69" s="230"/>
      <c r="GM69" s="230"/>
      <c r="GN69" s="230"/>
      <c r="GO69" s="230"/>
      <c r="GP69" s="230"/>
      <c r="GQ69" s="230"/>
      <c r="GR69" s="230"/>
      <c r="GS69" s="230"/>
      <c r="GT69" s="230"/>
      <c r="GU69" s="230"/>
      <c r="GV69" s="230"/>
      <c r="GW69" s="230"/>
      <c r="GX69" s="230"/>
      <c r="GY69" s="230"/>
      <c r="GZ69" s="230"/>
      <c r="HA69" s="230"/>
      <c r="HB69" s="230"/>
      <c r="HC69" s="230"/>
      <c r="HD69" s="230"/>
      <c r="HE69" s="230"/>
      <c r="HF69" s="230"/>
      <c r="HG69" s="230"/>
      <c r="HH69" s="230"/>
      <c r="HI69" s="230"/>
      <c r="HJ69" s="230"/>
      <c r="HK69" s="230"/>
      <c r="HL69" s="230"/>
      <c r="HM69" s="230"/>
      <c r="HN69" s="230"/>
      <c r="HO69" s="230"/>
      <c r="HP69" s="230"/>
      <c r="HQ69" s="230"/>
      <c r="HR69" s="230"/>
      <c r="HS69" s="230"/>
      <c r="HT69" s="230"/>
      <c r="HU69" s="230"/>
      <c r="HV69" s="230"/>
      <c r="HW69" s="230"/>
      <c r="HX69" s="230"/>
      <c r="HY69" s="230"/>
      <c r="HZ69" s="230"/>
      <c r="IA69" s="230"/>
      <c r="IB69" s="230"/>
      <c r="IC69" s="230"/>
      <c r="ID69" s="230"/>
      <c r="IE69" s="230"/>
      <c r="IF69" s="230"/>
      <c r="IG69" s="230"/>
      <c r="IH69" s="230"/>
      <c r="II69" s="230"/>
      <c r="IJ69" s="230"/>
      <c r="IK69" s="230"/>
      <c r="IL69" s="230"/>
      <c r="IM69" s="230"/>
      <c r="IN69" s="230"/>
      <c r="IO69" s="230"/>
      <c r="IP69" s="230"/>
    </row>
    <row r="70" spans="1:250" s="73" customFormat="1">
      <c r="A70" s="432" t="s">
        <v>987</v>
      </c>
      <c r="B70" s="421">
        <f>0.31*12*B56*1.9</f>
        <v>11301.731999999998</v>
      </c>
      <c r="C70" s="193">
        <f>ROUND(B70/B56/12,2)</f>
        <v>0.59</v>
      </c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  <c r="CM70" s="230"/>
      <c r="CN70" s="230"/>
      <c r="CO70" s="230"/>
      <c r="CP70" s="230"/>
      <c r="CQ70" s="230"/>
      <c r="CR70" s="230"/>
      <c r="CS70" s="230"/>
      <c r="CT70" s="230"/>
      <c r="CU70" s="230"/>
      <c r="CV70" s="230"/>
      <c r="CW70" s="230"/>
      <c r="CX70" s="230"/>
      <c r="CY70" s="230"/>
      <c r="CZ70" s="230"/>
      <c r="DA70" s="230"/>
      <c r="DB70" s="230"/>
      <c r="DC70" s="230"/>
      <c r="DD70" s="230"/>
      <c r="DE70" s="230"/>
      <c r="DF70" s="230"/>
      <c r="DG70" s="230"/>
      <c r="DH70" s="230"/>
      <c r="DI70" s="230"/>
      <c r="DJ70" s="230"/>
      <c r="DK70" s="230"/>
      <c r="DL70" s="230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0"/>
      <c r="DX70" s="230"/>
      <c r="DY70" s="230"/>
      <c r="DZ70" s="230"/>
      <c r="EA70" s="230"/>
      <c r="EB70" s="230"/>
      <c r="EC70" s="230"/>
      <c r="ED70" s="230"/>
      <c r="EE70" s="230"/>
      <c r="EF70" s="230"/>
      <c r="EG70" s="230"/>
      <c r="EH70" s="230"/>
      <c r="EI70" s="230"/>
      <c r="EJ70" s="230"/>
      <c r="EK70" s="230"/>
      <c r="EL70" s="230"/>
      <c r="EM70" s="230"/>
      <c r="EN70" s="230"/>
      <c r="EO70" s="230"/>
      <c r="EP70" s="230"/>
      <c r="EQ70" s="230"/>
      <c r="ER70" s="230"/>
      <c r="ES70" s="230"/>
      <c r="ET70" s="230"/>
      <c r="EU70" s="230"/>
      <c r="EV70" s="230"/>
      <c r="EW70" s="230"/>
      <c r="EX70" s="230"/>
      <c r="EY70" s="230"/>
      <c r="EZ70" s="230"/>
      <c r="FA70" s="230"/>
      <c r="FB70" s="230"/>
      <c r="FC70" s="230"/>
      <c r="FD70" s="230"/>
      <c r="FE70" s="230"/>
      <c r="FF70" s="230"/>
      <c r="FG70" s="230"/>
      <c r="FH70" s="230"/>
      <c r="FI70" s="230"/>
      <c r="FJ70" s="230"/>
      <c r="FK70" s="230"/>
      <c r="FL70" s="230"/>
      <c r="FM70" s="230"/>
      <c r="FN70" s="230"/>
      <c r="FO70" s="230"/>
      <c r="FP70" s="230"/>
      <c r="FQ70" s="230"/>
      <c r="FR70" s="230"/>
      <c r="FS70" s="230"/>
      <c r="FT70" s="230"/>
      <c r="FU70" s="230"/>
      <c r="FV70" s="230"/>
      <c r="FW70" s="230"/>
      <c r="FX70" s="230"/>
      <c r="FY70" s="230"/>
      <c r="FZ70" s="230"/>
      <c r="GA70" s="230"/>
      <c r="GB70" s="230"/>
      <c r="GC70" s="230"/>
      <c r="GD70" s="230"/>
      <c r="GE70" s="230"/>
      <c r="GF70" s="230"/>
      <c r="GG70" s="230"/>
      <c r="GH70" s="230"/>
      <c r="GI70" s="230"/>
      <c r="GJ70" s="230"/>
      <c r="GK70" s="230"/>
      <c r="GL70" s="230"/>
      <c r="GM70" s="230"/>
      <c r="GN70" s="230"/>
      <c r="GO70" s="230"/>
      <c r="GP70" s="230"/>
      <c r="GQ70" s="230"/>
      <c r="GR70" s="230"/>
      <c r="GS70" s="230"/>
      <c r="GT70" s="230"/>
      <c r="GU70" s="230"/>
      <c r="GV70" s="230"/>
      <c r="GW70" s="230"/>
      <c r="GX70" s="230"/>
      <c r="GY70" s="230"/>
      <c r="GZ70" s="230"/>
      <c r="HA70" s="230"/>
      <c r="HB70" s="230"/>
      <c r="HC70" s="230"/>
      <c r="HD70" s="230"/>
      <c r="HE70" s="230"/>
      <c r="HF70" s="230"/>
      <c r="HG70" s="230"/>
      <c r="HH70" s="230"/>
      <c r="HI70" s="230"/>
      <c r="HJ70" s="230"/>
      <c r="HK70" s="230"/>
      <c r="HL70" s="230"/>
      <c r="HM70" s="230"/>
      <c r="HN70" s="230"/>
      <c r="HO70" s="230"/>
      <c r="HP70" s="230"/>
      <c r="HQ70" s="230"/>
      <c r="HR70" s="230"/>
      <c r="HS70" s="230"/>
      <c r="HT70" s="230"/>
      <c r="HU70" s="230"/>
      <c r="HV70" s="230"/>
      <c r="HW70" s="230"/>
      <c r="HX70" s="230"/>
      <c r="HY70" s="230"/>
      <c r="HZ70" s="230"/>
      <c r="IA70" s="230"/>
      <c r="IB70" s="230"/>
      <c r="IC70" s="230"/>
      <c r="ID70" s="230"/>
      <c r="IE70" s="230"/>
      <c r="IF70" s="230"/>
      <c r="IG70" s="230"/>
      <c r="IH70" s="230"/>
      <c r="II70" s="230"/>
      <c r="IJ70" s="230"/>
      <c r="IK70" s="230"/>
      <c r="IL70" s="230"/>
      <c r="IM70" s="230"/>
      <c r="IN70" s="230"/>
      <c r="IO70" s="230"/>
      <c r="IP70" s="230"/>
    </row>
    <row r="71" spans="1:250" s="73" customFormat="1">
      <c r="A71" s="432" t="s">
        <v>908</v>
      </c>
      <c r="B71" s="421">
        <v>0</v>
      </c>
      <c r="C71" s="193">
        <f>ROUND(B71/B56/12,2)</f>
        <v>0</v>
      </c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30"/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0"/>
      <c r="DJ71" s="230"/>
      <c r="DK71" s="230"/>
      <c r="DL71" s="230"/>
      <c r="DM71" s="230"/>
      <c r="DN71" s="230"/>
      <c r="DO71" s="230"/>
      <c r="DP71" s="230"/>
      <c r="DQ71" s="230"/>
      <c r="DR71" s="230"/>
      <c r="DS71" s="230"/>
      <c r="DT71" s="230"/>
      <c r="DU71" s="230"/>
      <c r="DV71" s="230"/>
      <c r="DW71" s="230"/>
      <c r="DX71" s="230"/>
      <c r="DY71" s="230"/>
      <c r="DZ71" s="230"/>
      <c r="EA71" s="230"/>
      <c r="EB71" s="230"/>
      <c r="EC71" s="230"/>
      <c r="ED71" s="230"/>
      <c r="EE71" s="230"/>
      <c r="EF71" s="230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0"/>
      <c r="ES71" s="230"/>
      <c r="ET71" s="230"/>
      <c r="EU71" s="230"/>
      <c r="EV71" s="230"/>
      <c r="EW71" s="230"/>
      <c r="EX71" s="230"/>
      <c r="EY71" s="230"/>
      <c r="EZ71" s="230"/>
      <c r="FA71" s="230"/>
      <c r="FB71" s="230"/>
      <c r="FC71" s="230"/>
      <c r="FD71" s="230"/>
      <c r="FE71" s="230"/>
      <c r="FF71" s="230"/>
      <c r="FG71" s="230"/>
      <c r="FH71" s="230"/>
      <c r="FI71" s="230"/>
      <c r="FJ71" s="230"/>
      <c r="FK71" s="230"/>
      <c r="FL71" s="230"/>
      <c r="FM71" s="230"/>
      <c r="FN71" s="230"/>
      <c r="FO71" s="230"/>
      <c r="FP71" s="230"/>
      <c r="FQ71" s="230"/>
      <c r="FR71" s="230"/>
      <c r="FS71" s="230"/>
      <c r="FT71" s="230"/>
      <c r="FU71" s="230"/>
      <c r="FV71" s="230"/>
      <c r="FW71" s="230"/>
      <c r="FX71" s="230"/>
      <c r="FY71" s="230"/>
      <c r="FZ71" s="230"/>
      <c r="GA71" s="230"/>
      <c r="GB71" s="230"/>
      <c r="GC71" s="230"/>
      <c r="GD71" s="230"/>
      <c r="GE71" s="230"/>
      <c r="GF71" s="230"/>
      <c r="GG71" s="230"/>
      <c r="GH71" s="230"/>
      <c r="GI71" s="230"/>
      <c r="GJ71" s="230"/>
      <c r="GK71" s="230"/>
      <c r="GL71" s="230"/>
      <c r="GM71" s="230"/>
      <c r="GN71" s="230"/>
      <c r="GO71" s="230"/>
      <c r="GP71" s="230"/>
      <c r="GQ71" s="230"/>
      <c r="GR71" s="230"/>
      <c r="GS71" s="230"/>
      <c r="GT71" s="230"/>
      <c r="GU71" s="230"/>
      <c r="GV71" s="230"/>
      <c r="GW71" s="230"/>
      <c r="GX71" s="230"/>
      <c r="GY71" s="230"/>
      <c r="GZ71" s="230"/>
      <c r="HA71" s="230"/>
      <c r="HB71" s="230"/>
      <c r="HC71" s="230"/>
      <c r="HD71" s="230"/>
      <c r="HE71" s="230"/>
      <c r="HF71" s="230"/>
      <c r="HG71" s="230"/>
      <c r="HH71" s="230"/>
      <c r="HI71" s="230"/>
      <c r="HJ71" s="230"/>
      <c r="HK71" s="230"/>
      <c r="HL71" s="230"/>
      <c r="HM71" s="230"/>
      <c r="HN71" s="230"/>
      <c r="HO71" s="230"/>
      <c r="HP71" s="230"/>
      <c r="HQ71" s="230"/>
      <c r="HR71" s="230"/>
      <c r="HS71" s="230"/>
      <c r="HT71" s="230"/>
      <c r="HU71" s="230"/>
      <c r="HV71" s="230"/>
      <c r="HW71" s="230"/>
      <c r="HX71" s="230"/>
      <c r="HY71" s="230"/>
      <c r="HZ71" s="230"/>
      <c r="IA71" s="230"/>
      <c r="IB71" s="230"/>
      <c r="IC71" s="230"/>
      <c r="ID71" s="230"/>
      <c r="IE71" s="230"/>
      <c r="IF71" s="230"/>
      <c r="IG71" s="230"/>
      <c r="IH71" s="230"/>
      <c r="II71" s="230"/>
      <c r="IJ71" s="230"/>
      <c r="IK71" s="230"/>
      <c r="IL71" s="230"/>
      <c r="IM71" s="230"/>
      <c r="IN71" s="230"/>
      <c r="IO71" s="230"/>
      <c r="IP71" s="230"/>
    </row>
    <row r="72" spans="1:250" s="73" customFormat="1">
      <c r="A72" s="432" t="s">
        <v>600</v>
      </c>
      <c r="B72" s="421">
        <f>40*70*1.7</f>
        <v>4760</v>
      </c>
      <c r="C72" s="193">
        <f>ROUND(B72/B56/12,2)</f>
        <v>0.25</v>
      </c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0"/>
      <c r="CM72" s="230"/>
      <c r="CN72" s="230"/>
      <c r="CO72" s="230"/>
      <c r="CP72" s="230"/>
      <c r="CQ72" s="230"/>
      <c r="CR72" s="230"/>
      <c r="CS72" s="230"/>
      <c r="CT72" s="230"/>
      <c r="CU72" s="230"/>
      <c r="CV72" s="230"/>
      <c r="CW72" s="230"/>
      <c r="CX72" s="230"/>
      <c r="CY72" s="230"/>
      <c r="CZ72" s="230"/>
      <c r="DA72" s="230"/>
      <c r="DB72" s="230"/>
      <c r="DC72" s="230"/>
      <c r="DD72" s="230"/>
      <c r="DE72" s="230"/>
      <c r="DF72" s="230"/>
      <c r="DG72" s="230"/>
      <c r="DH72" s="230"/>
      <c r="DI72" s="230"/>
      <c r="DJ72" s="230"/>
      <c r="DK72" s="230"/>
      <c r="DL72" s="230"/>
      <c r="DM72" s="230"/>
      <c r="DN72" s="230"/>
      <c r="DO72" s="230"/>
      <c r="DP72" s="230"/>
      <c r="DQ72" s="230"/>
      <c r="DR72" s="230"/>
      <c r="DS72" s="230"/>
      <c r="DT72" s="230"/>
      <c r="DU72" s="230"/>
      <c r="DV72" s="230"/>
      <c r="DW72" s="230"/>
      <c r="DX72" s="230"/>
      <c r="DY72" s="230"/>
      <c r="DZ72" s="230"/>
      <c r="EA72" s="230"/>
      <c r="EB72" s="230"/>
      <c r="EC72" s="230"/>
      <c r="ED72" s="230"/>
      <c r="EE72" s="230"/>
      <c r="EF72" s="230"/>
      <c r="EG72" s="230"/>
      <c r="EH72" s="230"/>
      <c r="EI72" s="230"/>
      <c r="EJ72" s="230"/>
      <c r="EK72" s="230"/>
      <c r="EL72" s="230"/>
      <c r="EM72" s="230"/>
      <c r="EN72" s="230"/>
      <c r="EO72" s="230"/>
      <c r="EP72" s="230"/>
      <c r="EQ72" s="230"/>
      <c r="ER72" s="230"/>
      <c r="ES72" s="230"/>
      <c r="ET72" s="230"/>
      <c r="EU72" s="230"/>
      <c r="EV72" s="230"/>
      <c r="EW72" s="230"/>
      <c r="EX72" s="230"/>
      <c r="EY72" s="230"/>
      <c r="EZ72" s="230"/>
      <c r="FA72" s="230"/>
      <c r="FB72" s="230"/>
      <c r="FC72" s="230"/>
      <c r="FD72" s="230"/>
      <c r="FE72" s="230"/>
      <c r="FF72" s="230"/>
      <c r="FG72" s="230"/>
      <c r="FH72" s="230"/>
      <c r="FI72" s="230"/>
      <c r="FJ72" s="230"/>
      <c r="FK72" s="230"/>
      <c r="FL72" s="230"/>
      <c r="FM72" s="230"/>
      <c r="FN72" s="230"/>
      <c r="FO72" s="230"/>
      <c r="FP72" s="230"/>
      <c r="FQ72" s="230"/>
      <c r="FR72" s="230"/>
      <c r="FS72" s="230"/>
      <c r="FT72" s="230"/>
      <c r="FU72" s="230"/>
      <c r="FV72" s="230"/>
      <c r="FW72" s="230"/>
      <c r="FX72" s="230"/>
      <c r="FY72" s="230"/>
      <c r="FZ72" s="230"/>
      <c r="GA72" s="230"/>
      <c r="GB72" s="230"/>
      <c r="GC72" s="230"/>
      <c r="GD72" s="230"/>
      <c r="GE72" s="230"/>
      <c r="GF72" s="230"/>
      <c r="GG72" s="230"/>
      <c r="GH72" s="230"/>
      <c r="GI72" s="230"/>
      <c r="GJ72" s="230"/>
      <c r="GK72" s="230"/>
      <c r="GL72" s="230"/>
      <c r="GM72" s="230"/>
      <c r="GN72" s="230"/>
      <c r="GO72" s="230"/>
      <c r="GP72" s="230"/>
      <c r="GQ72" s="230"/>
      <c r="GR72" s="230"/>
      <c r="GS72" s="230"/>
      <c r="GT72" s="230"/>
      <c r="GU72" s="230"/>
      <c r="GV72" s="230"/>
      <c r="GW72" s="230"/>
      <c r="GX72" s="230"/>
      <c r="GY72" s="230"/>
      <c r="GZ72" s="230"/>
      <c r="HA72" s="230"/>
      <c r="HB72" s="230"/>
      <c r="HC72" s="230"/>
      <c r="HD72" s="230"/>
      <c r="HE72" s="230"/>
      <c r="HF72" s="230"/>
      <c r="HG72" s="230"/>
      <c r="HH72" s="230"/>
      <c r="HI72" s="230"/>
      <c r="HJ72" s="230"/>
      <c r="HK72" s="230"/>
      <c r="HL72" s="230"/>
      <c r="HM72" s="230"/>
      <c r="HN72" s="230"/>
      <c r="HO72" s="230"/>
      <c r="HP72" s="230"/>
      <c r="HQ72" s="230"/>
      <c r="HR72" s="230"/>
      <c r="HS72" s="230"/>
      <c r="HT72" s="230"/>
      <c r="HU72" s="230"/>
      <c r="HV72" s="230"/>
      <c r="HW72" s="230"/>
      <c r="HX72" s="230"/>
      <c r="HY72" s="230"/>
      <c r="HZ72" s="230"/>
      <c r="IA72" s="230"/>
      <c r="IB72" s="230"/>
      <c r="IC72" s="230"/>
      <c r="ID72" s="230"/>
      <c r="IE72" s="230"/>
      <c r="IF72" s="230"/>
      <c r="IG72" s="230"/>
      <c r="IH72" s="230"/>
      <c r="II72" s="230"/>
      <c r="IJ72" s="230"/>
      <c r="IK72" s="230"/>
      <c r="IL72" s="230"/>
      <c r="IM72" s="230"/>
      <c r="IN72" s="230"/>
      <c r="IO72" s="230"/>
      <c r="IP72" s="230"/>
    </row>
    <row r="73" spans="1:250" s="73" customFormat="1">
      <c r="A73" s="432" t="s">
        <v>611</v>
      </c>
      <c r="B73" s="421">
        <f>0.01*9100*12*1.302*1.9</f>
        <v>2701.3896</v>
      </c>
      <c r="C73" s="193">
        <f>ROUND(B73/B56/12,2)</f>
        <v>0.14000000000000001</v>
      </c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230"/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0"/>
      <c r="DZ73" s="230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0"/>
      <c r="EM73" s="230"/>
      <c r="EN73" s="230"/>
      <c r="EO73" s="230"/>
      <c r="EP73" s="230"/>
      <c r="EQ73" s="230"/>
      <c r="ER73" s="230"/>
      <c r="ES73" s="230"/>
      <c r="ET73" s="230"/>
      <c r="EU73" s="230"/>
      <c r="EV73" s="230"/>
      <c r="EW73" s="230"/>
      <c r="EX73" s="230"/>
      <c r="EY73" s="230"/>
      <c r="EZ73" s="230"/>
      <c r="FA73" s="230"/>
      <c r="FB73" s="230"/>
      <c r="FC73" s="230"/>
      <c r="FD73" s="230"/>
      <c r="FE73" s="230"/>
      <c r="FF73" s="230"/>
      <c r="FG73" s="230"/>
      <c r="FH73" s="230"/>
      <c r="FI73" s="230"/>
      <c r="FJ73" s="230"/>
      <c r="FK73" s="230"/>
      <c r="FL73" s="230"/>
      <c r="FM73" s="230"/>
      <c r="FN73" s="230"/>
      <c r="FO73" s="230"/>
      <c r="FP73" s="230"/>
      <c r="FQ73" s="230"/>
      <c r="FR73" s="230"/>
      <c r="FS73" s="230"/>
      <c r="FT73" s="230"/>
      <c r="FU73" s="230"/>
      <c r="FV73" s="230"/>
      <c r="FW73" s="230"/>
      <c r="FX73" s="230"/>
      <c r="FY73" s="230"/>
      <c r="FZ73" s="230"/>
      <c r="GA73" s="230"/>
      <c r="GB73" s="230"/>
      <c r="GC73" s="230"/>
      <c r="GD73" s="230"/>
      <c r="GE73" s="230"/>
      <c r="GF73" s="230"/>
      <c r="GG73" s="230"/>
      <c r="GH73" s="230"/>
      <c r="GI73" s="230"/>
      <c r="GJ73" s="230"/>
      <c r="GK73" s="230"/>
      <c r="GL73" s="230"/>
      <c r="GM73" s="230"/>
      <c r="GN73" s="230"/>
      <c r="GO73" s="230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/>
      <c r="HC73" s="230"/>
      <c r="HD73" s="230"/>
      <c r="HE73" s="230"/>
      <c r="HF73" s="230"/>
      <c r="HG73" s="230"/>
      <c r="HH73" s="230"/>
      <c r="HI73" s="230"/>
      <c r="HJ73" s="230"/>
      <c r="HK73" s="230"/>
      <c r="HL73" s="230"/>
      <c r="HM73" s="230"/>
      <c r="HN73" s="230"/>
      <c r="HO73" s="230"/>
      <c r="HP73" s="230"/>
      <c r="HQ73" s="230"/>
      <c r="HR73" s="230"/>
      <c r="HS73" s="230"/>
      <c r="HT73" s="230"/>
      <c r="HU73" s="230"/>
      <c r="HV73" s="230"/>
      <c r="HW73" s="230"/>
      <c r="HX73" s="230"/>
      <c r="HY73" s="230"/>
      <c r="HZ73" s="230"/>
      <c r="IA73" s="230"/>
      <c r="IB73" s="230"/>
      <c r="IC73" s="230"/>
      <c r="ID73" s="230"/>
      <c r="IE73" s="230"/>
      <c r="IF73" s="230"/>
      <c r="IG73" s="230"/>
      <c r="IH73" s="230"/>
      <c r="II73" s="230"/>
      <c r="IJ73" s="230"/>
      <c r="IK73" s="230"/>
      <c r="IL73" s="230"/>
      <c r="IM73" s="230"/>
      <c r="IN73" s="230"/>
      <c r="IO73" s="230"/>
      <c r="IP73" s="230"/>
    </row>
    <row r="74" spans="1:250" s="73" customFormat="1">
      <c r="A74" s="432" t="s">
        <v>602</v>
      </c>
      <c r="B74" s="421">
        <f>B51</f>
        <v>90.5</v>
      </c>
      <c r="C74" s="193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230"/>
      <c r="CJ74" s="230"/>
      <c r="CK74" s="230"/>
      <c r="CL74" s="230"/>
      <c r="CM74" s="230"/>
      <c r="CN74" s="230"/>
      <c r="CO74" s="230"/>
      <c r="CP74" s="230"/>
      <c r="CQ74" s="230"/>
      <c r="CR74" s="230"/>
      <c r="CS74" s="230"/>
      <c r="CT74" s="230"/>
      <c r="CU74" s="230"/>
      <c r="CV74" s="230"/>
      <c r="CW74" s="230"/>
      <c r="CX74" s="230"/>
      <c r="CY74" s="230"/>
      <c r="CZ74" s="230"/>
      <c r="DA74" s="230"/>
      <c r="DB74" s="230"/>
      <c r="DC74" s="230"/>
      <c r="DD74" s="230"/>
      <c r="DE74" s="230"/>
      <c r="DF74" s="230"/>
      <c r="DG74" s="230"/>
      <c r="DH74" s="230"/>
      <c r="DI74" s="230"/>
      <c r="DJ74" s="230"/>
      <c r="DK74" s="230"/>
      <c r="DL74" s="230"/>
      <c r="DM74" s="230"/>
      <c r="DN74" s="230"/>
      <c r="DO74" s="230"/>
      <c r="DP74" s="230"/>
      <c r="DQ74" s="230"/>
      <c r="DR74" s="230"/>
      <c r="DS74" s="230"/>
      <c r="DT74" s="230"/>
      <c r="DU74" s="230"/>
      <c r="DV74" s="230"/>
      <c r="DW74" s="230"/>
      <c r="DX74" s="230"/>
      <c r="DY74" s="230"/>
      <c r="DZ74" s="230"/>
      <c r="EA74" s="230"/>
      <c r="EB74" s="230"/>
      <c r="EC74" s="230"/>
      <c r="ED74" s="230"/>
      <c r="EE74" s="230"/>
      <c r="EF74" s="230"/>
      <c r="EG74" s="230"/>
      <c r="EH74" s="230"/>
      <c r="EI74" s="230"/>
      <c r="EJ74" s="230"/>
      <c r="EK74" s="230"/>
      <c r="EL74" s="230"/>
      <c r="EM74" s="230"/>
      <c r="EN74" s="230"/>
      <c r="EO74" s="230"/>
      <c r="EP74" s="230"/>
      <c r="EQ74" s="230"/>
      <c r="ER74" s="230"/>
      <c r="ES74" s="230"/>
      <c r="ET74" s="230"/>
      <c r="EU74" s="230"/>
      <c r="EV74" s="230"/>
      <c r="EW74" s="230"/>
      <c r="EX74" s="230"/>
      <c r="EY74" s="230"/>
      <c r="EZ74" s="230"/>
      <c r="FA74" s="230"/>
      <c r="FB74" s="230"/>
      <c r="FC74" s="230"/>
      <c r="FD74" s="230"/>
      <c r="FE74" s="230"/>
      <c r="FF74" s="230"/>
      <c r="FG74" s="230"/>
      <c r="FH74" s="230"/>
      <c r="FI74" s="230"/>
      <c r="FJ74" s="230"/>
      <c r="FK74" s="230"/>
      <c r="FL74" s="230"/>
      <c r="FM74" s="230"/>
      <c r="FN74" s="230"/>
      <c r="FO74" s="230"/>
      <c r="FP74" s="230"/>
      <c r="FQ74" s="230"/>
      <c r="FR74" s="230"/>
      <c r="FS74" s="230"/>
      <c r="FT74" s="230"/>
      <c r="FU74" s="230"/>
      <c r="FV74" s="230"/>
      <c r="FW74" s="230"/>
      <c r="FX74" s="230"/>
      <c r="FY74" s="230"/>
      <c r="FZ74" s="230"/>
      <c r="GA74" s="230"/>
      <c r="GB74" s="230"/>
      <c r="GC74" s="230"/>
      <c r="GD74" s="230"/>
      <c r="GE74" s="230"/>
      <c r="GF74" s="230"/>
      <c r="GG74" s="230"/>
      <c r="GH74" s="230"/>
      <c r="GI74" s="230"/>
      <c r="GJ74" s="230"/>
      <c r="GK74" s="230"/>
      <c r="GL74" s="230"/>
      <c r="GM74" s="230"/>
      <c r="GN74" s="230"/>
      <c r="GO74" s="230"/>
      <c r="GP74" s="230"/>
      <c r="GQ74" s="230"/>
      <c r="GR74" s="230"/>
      <c r="GS74" s="230"/>
      <c r="GT74" s="230"/>
      <c r="GU74" s="230"/>
      <c r="GV74" s="230"/>
      <c r="GW74" s="230"/>
      <c r="GX74" s="230"/>
      <c r="GY74" s="230"/>
      <c r="GZ74" s="230"/>
      <c r="HA74" s="230"/>
      <c r="HB74" s="230"/>
      <c r="HC74" s="230"/>
      <c r="HD74" s="230"/>
      <c r="HE74" s="230"/>
      <c r="HF74" s="230"/>
      <c r="HG74" s="230"/>
      <c r="HH74" s="230"/>
      <c r="HI74" s="230"/>
      <c r="HJ74" s="230"/>
      <c r="HK74" s="230"/>
      <c r="HL74" s="230"/>
      <c r="HM74" s="230"/>
      <c r="HN74" s="230"/>
      <c r="HO74" s="230"/>
      <c r="HP74" s="230"/>
      <c r="HQ74" s="230"/>
      <c r="HR74" s="230"/>
      <c r="HS74" s="230"/>
      <c r="HT74" s="230"/>
      <c r="HU74" s="230"/>
      <c r="HV74" s="230"/>
      <c r="HW74" s="230"/>
      <c r="HX74" s="230"/>
      <c r="HY74" s="230"/>
      <c r="HZ74" s="230"/>
      <c r="IA74" s="230"/>
      <c r="IB74" s="230"/>
      <c r="IC74" s="230"/>
      <c r="ID74" s="230"/>
      <c r="IE74" s="230"/>
      <c r="IF74" s="230"/>
      <c r="IG74" s="230"/>
      <c r="IH74" s="230"/>
      <c r="II74" s="230"/>
      <c r="IJ74" s="230"/>
      <c r="IK74" s="230"/>
      <c r="IL74" s="230"/>
      <c r="IM74" s="230"/>
      <c r="IN74" s="230"/>
      <c r="IO74" s="230"/>
      <c r="IP74" s="230"/>
    </row>
    <row r="75" spans="1:250" s="73" customFormat="1">
      <c r="A75" s="432" t="s">
        <v>603</v>
      </c>
      <c r="B75" s="421">
        <f>B74*110*1.302*1.9</f>
        <v>24626.679</v>
      </c>
      <c r="C75" s="193">
        <f>ROUND(B75/B56/12,2)</f>
        <v>1.28</v>
      </c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0"/>
      <c r="DZ75" s="230"/>
      <c r="EA75" s="230"/>
      <c r="EB75" s="230"/>
      <c r="EC75" s="230"/>
      <c r="ED75" s="230"/>
      <c r="EE75" s="230"/>
      <c r="EF75" s="230"/>
      <c r="EG75" s="230"/>
      <c r="EH75" s="230"/>
      <c r="EI75" s="230"/>
      <c r="EJ75" s="230"/>
      <c r="EK75" s="230"/>
      <c r="EL75" s="230"/>
      <c r="EM75" s="230"/>
      <c r="EN75" s="230"/>
      <c r="EO75" s="230"/>
      <c r="EP75" s="230"/>
      <c r="EQ75" s="230"/>
      <c r="ER75" s="230"/>
      <c r="ES75" s="230"/>
      <c r="ET75" s="230"/>
      <c r="EU75" s="230"/>
      <c r="EV75" s="230"/>
      <c r="EW75" s="230"/>
      <c r="EX75" s="230"/>
      <c r="EY75" s="230"/>
      <c r="EZ75" s="230"/>
      <c r="FA75" s="230"/>
      <c r="FB75" s="230"/>
      <c r="FC75" s="230"/>
      <c r="FD75" s="230"/>
      <c r="FE75" s="230"/>
      <c r="FF75" s="230"/>
      <c r="FG75" s="230"/>
      <c r="FH75" s="230"/>
      <c r="FI75" s="230"/>
      <c r="FJ75" s="230"/>
      <c r="FK75" s="230"/>
      <c r="FL75" s="230"/>
      <c r="FM75" s="230"/>
      <c r="FN75" s="230"/>
      <c r="FO75" s="230"/>
      <c r="FP75" s="230"/>
      <c r="FQ75" s="230"/>
      <c r="FR75" s="230"/>
      <c r="FS75" s="230"/>
      <c r="FT75" s="230"/>
      <c r="FU75" s="230"/>
      <c r="FV75" s="230"/>
      <c r="FW75" s="230"/>
      <c r="FX75" s="230"/>
      <c r="FY75" s="230"/>
      <c r="FZ75" s="230"/>
      <c r="GA75" s="230"/>
      <c r="GB75" s="230"/>
      <c r="GC75" s="230"/>
      <c r="GD75" s="230"/>
      <c r="GE75" s="230"/>
      <c r="GF75" s="230"/>
      <c r="GG75" s="230"/>
      <c r="GH75" s="230"/>
      <c r="GI75" s="230"/>
      <c r="GJ75" s="230"/>
      <c r="GK75" s="230"/>
      <c r="GL75" s="230"/>
      <c r="GM75" s="230"/>
      <c r="GN75" s="230"/>
      <c r="GO75" s="230"/>
      <c r="GP75" s="230"/>
      <c r="GQ75" s="230"/>
      <c r="GR75" s="230"/>
      <c r="GS75" s="230"/>
      <c r="GT75" s="230"/>
      <c r="GU75" s="230"/>
      <c r="GV75" s="230"/>
      <c r="GW75" s="230"/>
      <c r="GX75" s="230"/>
      <c r="GY75" s="230"/>
      <c r="GZ75" s="230"/>
      <c r="HA75" s="230"/>
      <c r="HB75" s="230"/>
      <c r="HC75" s="230"/>
      <c r="HD75" s="230"/>
      <c r="HE75" s="230"/>
      <c r="HF75" s="230"/>
      <c r="HG75" s="230"/>
      <c r="HH75" s="230"/>
      <c r="HI75" s="230"/>
      <c r="HJ75" s="230"/>
      <c r="HK75" s="230"/>
      <c r="HL75" s="230"/>
      <c r="HM75" s="230"/>
      <c r="HN75" s="230"/>
      <c r="HO75" s="230"/>
      <c r="HP75" s="230"/>
      <c r="HQ75" s="230"/>
      <c r="HR75" s="230"/>
      <c r="HS75" s="230"/>
      <c r="HT75" s="230"/>
      <c r="HU75" s="230"/>
      <c r="HV75" s="230"/>
      <c r="HW75" s="230"/>
      <c r="HX75" s="230"/>
      <c r="HY75" s="230"/>
      <c r="HZ75" s="230"/>
      <c r="IA75" s="230"/>
      <c r="IB75" s="230"/>
      <c r="IC75" s="230"/>
      <c r="ID75" s="230"/>
      <c r="IE75" s="230"/>
      <c r="IF75" s="230"/>
      <c r="IG75" s="230"/>
      <c r="IH75" s="230"/>
      <c r="II75" s="230"/>
      <c r="IJ75" s="230"/>
      <c r="IK75" s="230"/>
      <c r="IL75" s="230"/>
      <c r="IM75" s="230"/>
      <c r="IN75" s="230"/>
      <c r="IO75" s="230"/>
      <c r="IP75" s="230"/>
    </row>
    <row r="76" spans="1:250" s="73" customFormat="1">
      <c r="A76" s="432" t="s">
        <v>1127</v>
      </c>
      <c r="B76" s="421">
        <f>17910.3*1.9</f>
        <v>34029.57</v>
      </c>
      <c r="C76" s="193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0"/>
      <c r="EM76" s="230"/>
      <c r="EN76" s="230"/>
      <c r="EO76" s="230"/>
      <c r="EP76" s="230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30"/>
      <c r="FD76" s="230"/>
      <c r="FE76" s="230"/>
      <c r="FF76" s="230"/>
      <c r="FG76" s="230"/>
      <c r="FH76" s="230"/>
      <c r="FI76" s="230"/>
      <c r="FJ76" s="230"/>
      <c r="FK76" s="230"/>
      <c r="FL76" s="230"/>
      <c r="FM76" s="230"/>
      <c r="FN76" s="230"/>
      <c r="FO76" s="230"/>
      <c r="FP76" s="230"/>
      <c r="FQ76" s="230"/>
      <c r="FR76" s="230"/>
      <c r="FS76" s="230"/>
      <c r="FT76" s="230"/>
      <c r="FU76" s="230"/>
      <c r="FV76" s="230"/>
      <c r="FW76" s="230"/>
      <c r="FX76" s="230"/>
      <c r="FY76" s="230"/>
      <c r="FZ76" s="230"/>
      <c r="GA76" s="230"/>
      <c r="GB76" s="230"/>
      <c r="GC76" s="230"/>
      <c r="GD76" s="230"/>
      <c r="GE76" s="230"/>
      <c r="GF76" s="230"/>
      <c r="GG76" s="230"/>
      <c r="GH76" s="230"/>
      <c r="GI76" s="230"/>
      <c r="GJ76" s="230"/>
      <c r="GK76" s="230"/>
      <c r="GL76" s="230"/>
      <c r="GM76" s="230"/>
      <c r="GN76" s="230"/>
      <c r="GO76" s="230"/>
      <c r="GP76" s="230"/>
      <c r="GQ76" s="230"/>
      <c r="GR76" s="230"/>
      <c r="GS76" s="230"/>
      <c r="GT76" s="230"/>
      <c r="GU76" s="230"/>
      <c r="GV76" s="230"/>
      <c r="GW76" s="230"/>
      <c r="GX76" s="230"/>
      <c r="GY76" s="230"/>
      <c r="GZ76" s="230"/>
      <c r="HA76" s="230"/>
      <c r="HB76" s="230"/>
      <c r="HC76" s="230"/>
      <c r="HD76" s="230"/>
      <c r="HE76" s="230"/>
      <c r="HF76" s="230"/>
      <c r="HG76" s="230"/>
      <c r="HH76" s="230"/>
      <c r="HI76" s="230"/>
      <c r="HJ76" s="230"/>
      <c r="HK76" s="230"/>
      <c r="HL76" s="230"/>
      <c r="HM76" s="230"/>
      <c r="HN76" s="230"/>
      <c r="HO76" s="230"/>
      <c r="HP76" s="230"/>
      <c r="HQ76" s="230"/>
      <c r="HR76" s="230"/>
      <c r="HS76" s="230"/>
      <c r="HT76" s="230"/>
      <c r="HU76" s="230"/>
      <c r="HV76" s="230"/>
      <c r="HW76" s="230"/>
      <c r="HX76" s="230"/>
      <c r="HY76" s="230"/>
      <c r="HZ76" s="230"/>
      <c r="IA76" s="230"/>
      <c r="IB76" s="230"/>
      <c r="IC76" s="230"/>
      <c r="ID76" s="230"/>
      <c r="IE76" s="230"/>
      <c r="IF76" s="230"/>
      <c r="IG76" s="230"/>
      <c r="IH76" s="230"/>
      <c r="II76" s="230"/>
      <c r="IJ76" s="230"/>
      <c r="IK76" s="230"/>
      <c r="IL76" s="230"/>
      <c r="IM76" s="230"/>
      <c r="IN76" s="230"/>
      <c r="IO76" s="230"/>
      <c r="IP76" s="230"/>
    </row>
    <row r="77" spans="1:250" s="73" customFormat="1">
      <c r="A77" s="432" t="s">
        <v>1128</v>
      </c>
      <c r="B77" s="421">
        <v>0</v>
      </c>
      <c r="C77" s="193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  <c r="CM77" s="230"/>
      <c r="CN77" s="230"/>
      <c r="CO77" s="230"/>
      <c r="CP77" s="230"/>
      <c r="CQ77" s="230"/>
      <c r="CR77" s="230"/>
      <c r="CS77" s="230"/>
      <c r="CT77" s="230"/>
      <c r="CU77" s="230"/>
      <c r="CV77" s="230"/>
      <c r="CW77" s="230"/>
      <c r="CX77" s="230"/>
      <c r="CY77" s="230"/>
      <c r="CZ77" s="230"/>
      <c r="DA77" s="230"/>
      <c r="DB77" s="230"/>
      <c r="DC77" s="230"/>
      <c r="DD77" s="230"/>
      <c r="DE77" s="230"/>
      <c r="DF77" s="230"/>
      <c r="DG77" s="230"/>
      <c r="DH77" s="230"/>
      <c r="DI77" s="230"/>
      <c r="DJ77" s="230"/>
      <c r="DK77" s="230"/>
      <c r="DL77" s="230"/>
      <c r="DM77" s="230"/>
      <c r="DN77" s="230"/>
      <c r="DO77" s="230"/>
      <c r="DP77" s="230"/>
      <c r="DQ77" s="230"/>
      <c r="DR77" s="230"/>
      <c r="DS77" s="230"/>
      <c r="DT77" s="230"/>
      <c r="DU77" s="230"/>
      <c r="DV77" s="230"/>
      <c r="DW77" s="230"/>
      <c r="DX77" s="230"/>
      <c r="DY77" s="230"/>
      <c r="DZ77" s="230"/>
      <c r="EA77" s="230"/>
      <c r="EB77" s="230"/>
      <c r="EC77" s="230"/>
      <c r="ED77" s="230"/>
      <c r="EE77" s="230"/>
      <c r="EF77" s="230"/>
      <c r="EG77" s="230"/>
      <c r="EH77" s="230"/>
      <c r="EI77" s="230"/>
      <c r="EJ77" s="230"/>
      <c r="EK77" s="230"/>
      <c r="EL77" s="230"/>
      <c r="EM77" s="230"/>
      <c r="EN77" s="230"/>
      <c r="EO77" s="230"/>
      <c r="EP77" s="230"/>
      <c r="EQ77" s="230"/>
      <c r="ER77" s="230"/>
      <c r="ES77" s="230"/>
      <c r="ET77" s="230"/>
      <c r="EU77" s="230"/>
      <c r="EV77" s="230"/>
      <c r="EW77" s="230"/>
      <c r="EX77" s="230"/>
      <c r="EY77" s="230"/>
      <c r="EZ77" s="230"/>
      <c r="FA77" s="230"/>
      <c r="FB77" s="230"/>
      <c r="FC77" s="230"/>
      <c r="FD77" s="230"/>
      <c r="FE77" s="230"/>
      <c r="FF77" s="230"/>
      <c r="FG77" s="230"/>
      <c r="FH77" s="230"/>
      <c r="FI77" s="230"/>
      <c r="FJ77" s="230"/>
      <c r="FK77" s="230"/>
      <c r="FL77" s="230"/>
      <c r="FM77" s="230"/>
      <c r="FN77" s="230"/>
      <c r="FO77" s="230"/>
      <c r="FP77" s="230"/>
      <c r="FQ77" s="230"/>
      <c r="FR77" s="230"/>
      <c r="FS77" s="230"/>
      <c r="FT77" s="230"/>
      <c r="FU77" s="230"/>
      <c r="FV77" s="230"/>
      <c r="FW77" s="230"/>
      <c r="FX77" s="230"/>
      <c r="FY77" s="230"/>
      <c r="FZ77" s="230"/>
      <c r="GA77" s="230"/>
      <c r="GB77" s="230"/>
      <c r="GC77" s="230"/>
      <c r="GD77" s="230"/>
      <c r="GE77" s="230"/>
      <c r="GF77" s="230"/>
      <c r="GG77" s="230"/>
      <c r="GH77" s="230"/>
      <c r="GI77" s="230"/>
      <c r="GJ77" s="230"/>
      <c r="GK77" s="230"/>
      <c r="GL77" s="230"/>
      <c r="GM77" s="230"/>
      <c r="GN77" s="230"/>
      <c r="GO77" s="230"/>
      <c r="GP77" s="230"/>
      <c r="GQ77" s="230"/>
      <c r="GR77" s="230"/>
      <c r="GS77" s="230"/>
      <c r="GT77" s="230"/>
      <c r="GU77" s="230"/>
      <c r="GV77" s="230"/>
      <c r="GW77" s="230"/>
      <c r="GX77" s="230"/>
      <c r="GY77" s="230"/>
      <c r="GZ77" s="230"/>
      <c r="HA77" s="230"/>
      <c r="HB77" s="230"/>
      <c r="HC77" s="230"/>
      <c r="HD77" s="230"/>
      <c r="HE77" s="230"/>
      <c r="HF77" s="230"/>
      <c r="HG77" s="230"/>
      <c r="HH77" s="230"/>
      <c r="HI77" s="230"/>
      <c r="HJ77" s="230"/>
      <c r="HK77" s="230"/>
      <c r="HL77" s="230"/>
      <c r="HM77" s="230"/>
      <c r="HN77" s="230"/>
      <c r="HO77" s="230"/>
      <c r="HP77" s="230"/>
      <c r="HQ77" s="230"/>
      <c r="HR77" s="230"/>
      <c r="HS77" s="230"/>
      <c r="HT77" s="230"/>
      <c r="HU77" s="230"/>
      <c r="HV77" s="230"/>
      <c r="HW77" s="230"/>
      <c r="HX77" s="230"/>
      <c r="HY77" s="230"/>
      <c r="HZ77" s="230"/>
      <c r="IA77" s="230"/>
      <c r="IB77" s="230"/>
      <c r="IC77" s="230"/>
      <c r="ID77" s="230"/>
      <c r="IE77" s="230"/>
      <c r="IF77" s="230"/>
      <c r="IG77" s="230"/>
      <c r="IH77" s="230"/>
      <c r="II77" s="230"/>
      <c r="IJ77" s="230"/>
      <c r="IK77" s="230"/>
      <c r="IL77" s="230"/>
      <c r="IM77" s="230"/>
      <c r="IN77" s="230"/>
      <c r="IO77" s="230"/>
      <c r="IP77" s="230"/>
    </row>
    <row r="78" spans="1:250" s="73" customFormat="1">
      <c r="A78" s="432" t="s">
        <v>724</v>
      </c>
      <c r="B78" s="421">
        <f>1949.87*1.9</f>
        <v>3704.7529999999997</v>
      </c>
      <c r="C78" s="193">
        <f>ROUND(B78/B56/12,2)</f>
        <v>0.19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/>
      <c r="CL78" s="230"/>
      <c r="CM78" s="230"/>
      <c r="CN78" s="230"/>
      <c r="CO78" s="230"/>
      <c r="CP78" s="230"/>
      <c r="CQ78" s="230"/>
      <c r="CR78" s="230"/>
      <c r="CS78" s="230"/>
      <c r="CT78" s="230"/>
      <c r="CU78" s="230"/>
      <c r="CV78" s="230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H78" s="230"/>
      <c r="DI78" s="230"/>
      <c r="DJ78" s="230"/>
      <c r="DK78" s="230"/>
      <c r="DL78" s="230"/>
      <c r="DM78" s="230"/>
      <c r="DN78" s="230"/>
      <c r="DO78" s="230"/>
      <c r="DP78" s="230"/>
      <c r="DQ78" s="230"/>
      <c r="DR78" s="230"/>
      <c r="DS78" s="230"/>
      <c r="DT78" s="230"/>
      <c r="DU78" s="230"/>
      <c r="DV78" s="230"/>
      <c r="DW78" s="230"/>
      <c r="DX78" s="230"/>
      <c r="DY78" s="230"/>
      <c r="DZ78" s="230"/>
      <c r="EA78" s="230"/>
      <c r="EB78" s="230"/>
      <c r="EC78" s="230"/>
      <c r="ED78" s="230"/>
      <c r="EE78" s="230"/>
      <c r="EF78" s="230"/>
      <c r="EG78" s="230"/>
      <c r="EH78" s="230"/>
      <c r="EI78" s="230"/>
      <c r="EJ78" s="230"/>
      <c r="EK78" s="230"/>
      <c r="EL78" s="230"/>
      <c r="EM78" s="230"/>
      <c r="EN78" s="230"/>
      <c r="EO78" s="230"/>
      <c r="EP78" s="230"/>
      <c r="EQ78" s="230"/>
      <c r="ER78" s="230"/>
      <c r="ES78" s="230"/>
      <c r="ET78" s="230"/>
      <c r="EU78" s="230"/>
      <c r="EV78" s="230"/>
      <c r="EW78" s="230"/>
      <c r="EX78" s="230"/>
      <c r="EY78" s="230"/>
      <c r="EZ78" s="230"/>
      <c r="FA78" s="230"/>
      <c r="FB78" s="230"/>
      <c r="FC78" s="230"/>
      <c r="FD78" s="230"/>
      <c r="FE78" s="230"/>
      <c r="FF78" s="230"/>
      <c r="FG78" s="230"/>
      <c r="FH78" s="230"/>
      <c r="FI78" s="230"/>
      <c r="FJ78" s="230"/>
      <c r="FK78" s="230"/>
      <c r="FL78" s="230"/>
      <c r="FM78" s="230"/>
      <c r="FN78" s="230"/>
      <c r="FO78" s="230"/>
      <c r="FP78" s="230"/>
      <c r="FQ78" s="230"/>
      <c r="FR78" s="230"/>
      <c r="FS78" s="230"/>
      <c r="FT78" s="230"/>
      <c r="FU78" s="230"/>
      <c r="FV78" s="230"/>
      <c r="FW78" s="230"/>
      <c r="FX78" s="230"/>
      <c r="FY78" s="230"/>
      <c r="FZ78" s="230"/>
      <c r="GA78" s="230"/>
      <c r="GB78" s="230"/>
      <c r="GC78" s="230"/>
      <c r="GD78" s="230"/>
      <c r="GE78" s="230"/>
      <c r="GF78" s="230"/>
      <c r="GG78" s="230"/>
      <c r="GH78" s="230"/>
      <c r="GI78" s="230"/>
      <c r="GJ78" s="230"/>
      <c r="GK78" s="230"/>
      <c r="GL78" s="230"/>
      <c r="GM78" s="230"/>
      <c r="GN78" s="230"/>
      <c r="GO78" s="230"/>
      <c r="GP78" s="230"/>
      <c r="GQ78" s="230"/>
      <c r="GR78" s="230"/>
      <c r="GS78" s="230"/>
      <c r="GT78" s="230"/>
      <c r="GU78" s="230"/>
      <c r="GV78" s="230"/>
      <c r="GW78" s="230"/>
      <c r="GX78" s="230"/>
      <c r="GY78" s="230"/>
      <c r="GZ78" s="230"/>
      <c r="HA78" s="230"/>
      <c r="HB78" s="230"/>
      <c r="HC78" s="230"/>
      <c r="HD78" s="230"/>
      <c r="HE78" s="230"/>
      <c r="HF78" s="230"/>
      <c r="HG78" s="230"/>
      <c r="HH78" s="230"/>
      <c r="HI78" s="230"/>
      <c r="HJ78" s="230"/>
      <c r="HK78" s="230"/>
      <c r="HL78" s="230"/>
      <c r="HM78" s="230"/>
      <c r="HN78" s="230"/>
      <c r="HO78" s="230"/>
      <c r="HP78" s="230"/>
      <c r="HQ78" s="230"/>
      <c r="HR78" s="230"/>
      <c r="HS78" s="230"/>
      <c r="HT78" s="230"/>
      <c r="HU78" s="230"/>
      <c r="HV78" s="230"/>
      <c r="HW78" s="230"/>
      <c r="HX78" s="230"/>
      <c r="HY78" s="230"/>
      <c r="HZ78" s="230"/>
      <c r="IA78" s="230"/>
      <c r="IB78" s="230"/>
      <c r="IC78" s="230"/>
      <c r="ID78" s="230"/>
      <c r="IE78" s="230"/>
      <c r="IF78" s="230"/>
      <c r="IG78" s="230"/>
      <c r="IH78" s="230"/>
      <c r="II78" s="230"/>
      <c r="IJ78" s="230"/>
      <c r="IK78" s="230"/>
      <c r="IL78" s="230"/>
      <c r="IM78" s="230"/>
      <c r="IN78" s="230"/>
      <c r="IO78" s="230"/>
      <c r="IP78" s="230"/>
    </row>
    <row r="79" spans="1:250" s="73" customFormat="1">
      <c r="A79" s="679" t="s">
        <v>3810</v>
      </c>
      <c r="B79" s="421">
        <f>B59*0.1</f>
        <v>34212.240000000005</v>
      </c>
      <c r="C79" s="193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0"/>
      <c r="CH79" s="230"/>
      <c r="CI79" s="230"/>
      <c r="CJ79" s="230"/>
      <c r="CK79" s="230"/>
      <c r="CL79" s="230"/>
      <c r="CM79" s="230"/>
      <c r="CN79" s="230"/>
      <c r="CO79" s="230"/>
      <c r="CP79" s="230"/>
      <c r="CQ79" s="230"/>
      <c r="CR79" s="230"/>
      <c r="CS79" s="230"/>
      <c r="CT79" s="230"/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0"/>
      <c r="DI79" s="230"/>
      <c r="DJ79" s="230"/>
      <c r="DK79" s="230"/>
      <c r="DL79" s="230"/>
      <c r="DM79" s="230"/>
      <c r="DN79" s="230"/>
      <c r="DO79" s="230"/>
      <c r="DP79" s="230"/>
      <c r="DQ79" s="230"/>
      <c r="DR79" s="230"/>
      <c r="DS79" s="230"/>
      <c r="DT79" s="230"/>
      <c r="DU79" s="230"/>
      <c r="DV79" s="230"/>
      <c r="DW79" s="230"/>
      <c r="DX79" s="230"/>
      <c r="DY79" s="230"/>
      <c r="DZ79" s="230"/>
      <c r="EA79" s="230"/>
      <c r="EB79" s="230"/>
      <c r="EC79" s="230"/>
      <c r="ED79" s="230"/>
      <c r="EE79" s="230"/>
      <c r="EF79" s="230"/>
      <c r="EG79" s="230"/>
      <c r="EH79" s="230"/>
      <c r="EI79" s="230"/>
      <c r="EJ79" s="230"/>
      <c r="EK79" s="230"/>
      <c r="EL79" s="230"/>
      <c r="EM79" s="230"/>
      <c r="EN79" s="230"/>
      <c r="EO79" s="230"/>
      <c r="EP79" s="230"/>
      <c r="EQ79" s="230"/>
      <c r="ER79" s="230"/>
      <c r="ES79" s="230"/>
      <c r="ET79" s="230"/>
      <c r="EU79" s="230"/>
      <c r="EV79" s="230"/>
      <c r="EW79" s="230"/>
      <c r="EX79" s="230"/>
      <c r="EY79" s="230"/>
      <c r="EZ79" s="230"/>
      <c r="FA79" s="230"/>
      <c r="FB79" s="230"/>
      <c r="FC79" s="230"/>
      <c r="FD79" s="230"/>
      <c r="FE79" s="230"/>
      <c r="FF79" s="230"/>
      <c r="FG79" s="230"/>
      <c r="FH79" s="230"/>
      <c r="FI79" s="230"/>
      <c r="FJ79" s="230"/>
      <c r="FK79" s="230"/>
      <c r="FL79" s="230"/>
      <c r="FM79" s="230"/>
      <c r="FN79" s="230"/>
      <c r="FO79" s="230"/>
      <c r="FP79" s="230"/>
      <c r="FQ79" s="230"/>
      <c r="FR79" s="230"/>
      <c r="FS79" s="230"/>
      <c r="FT79" s="230"/>
      <c r="FU79" s="230"/>
      <c r="FV79" s="230"/>
      <c r="FW79" s="230"/>
      <c r="FX79" s="230"/>
      <c r="FY79" s="230"/>
      <c r="FZ79" s="230"/>
      <c r="GA79" s="230"/>
      <c r="GB79" s="230"/>
      <c r="GC79" s="230"/>
      <c r="GD79" s="230"/>
      <c r="GE79" s="230"/>
      <c r="GF79" s="230"/>
      <c r="GG79" s="230"/>
      <c r="GH79" s="230"/>
      <c r="GI79" s="230"/>
      <c r="GJ79" s="230"/>
      <c r="GK79" s="230"/>
      <c r="GL79" s="230"/>
      <c r="GM79" s="230"/>
      <c r="GN79" s="230"/>
      <c r="GO79" s="230"/>
      <c r="GP79" s="230"/>
      <c r="GQ79" s="230"/>
      <c r="GR79" s="230"/>
      <c r="GS79" s="230"/>
      <c r="GT79" s="230"/>
      <c r="GU79" s="230"/>
      <c r="GV79" s="230"/>
      <c r="GW79" s="230"/>
      <c r="GX79" s="230"/>
      <c r="GY79" s="230"/>
      <c r="GZ79" s="230"/>
      <c r="HA79" s="230"/>
      <c r="HB79" s="230"/>
      <c r="HC79" s="230"/>
      <c r="HD79" s="230"/>
      <c r="HE79" s="230"/>
      <c r="HF79" s="230"/>
      <c r="HG79" s="230"/>
      <c r="HH79" s="230"/>
      <c r="HI79" s="230"/>
      <c r="HJ79" s="230"/>
      <c r="HK79" s="230"/>
      <c r="HL79" s="230"/>
      <c r="HM79" s="230"/>
      <c r="HN79" s="230"/>
      <c r="HO79" s="230"/>
      <c r="HP79" s="230"/>
      <c r="HQ79" s="230"/>
      <c r="HR79" s="230"/>
      <c r="HS79" s="230"/>
      <c r="HT79" s="230"/>
      <c r="HU79" s="230"/>
      <c r="HV79" s="230"/>
      <c r="HW79" s="230"/>
      <c r="HX79" s="230"/>
      <c r="HY79" s="230"/>
      <c r="HZ79" s="230"/>
      <c r="IA79" s="230"/>
      <c r="IB79" s="230"/>
      <c r="IC79" s="230"/>
      <c r="ID79" s="230"/>
      <c r="IE79" s="230"/>
      <c r="IF79" s="230"/>
      <c r="IG79" s="230"/>
      <c r="IH79" s="230"/>
      <c r="II79" s="230"/>
      <c r="IJ79" s="230"/>
      <c r="IK79" s="230"/>
      <c r="IL79" s="230"/>
      <c r="IM79" s="230"/>
      <c r="IN79" s="230"/>
      <c r="IO79" s="230"/>
      <c r="IP79" s="230"/>
    </row>
    <row r="80" spans="1:250" s="73" customFormat="1">
      <c r="A80" s="432" t="s">
        <v>1577</v>
      </c>
      <c r="B80" s="421">
        <f>B64-B66</f>
        <v>20253.259877154895</v>
      </c>
      <c r="C80" s="193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H80" s="230"/>
      <c r="DI80" s="230"/>
      <c r="DJ80" s="230"/>
      <c r="DK80" s="230"/>
      <c r="DL80" s="230"/>
      <c r="DM80" s="230"/>
      <c r="DN80" s="230"/>
      <c r="DO80" s="230"/>
      <c r="DP80" s="230"/>
      <c r="DQ80" s="230"/>
      <c r="DR80" s="230"/>
      <c r="DS80" s="230"/>
      <c r="DT80" s="230"/>
      <c r="DU80" s="230"/>
      <c r="DV80" s="230"/>
      <c r="DW80" s="230"/>
      <c r="DX80" s="230"/>
      <c r="DY80" s="230"/>
      <c r="DZ80" s="230"/>
      <c r="EA80" s="230"/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0"/>
      <c r="EP80" s="230"/>
      <c r="EQ80" s="230"/>
      <c r="ER80" s="230"/>
      <c r="ES80" s="230"/>
      <c r="ET80" s="230"/>
      <c r="EU80" s="230"/>
      <c r="EV80" s="230"/>
      <c r="EW80" s="230"/>
      <c r="EX80" s="230"/>
      <c r="EY80" s="230"/>
      <c r="EZ80" s="230"/>
      <c r="FA80" s="230"/>
      <c r="FB80" s="230"/>
      <c r="FC80" s="230"/>
      <c r="FD80" s="230"/>
      <c r="FE80" s="230"/>
      <c r="FF80" s="230"/>
      <c r="FG80" s="230"/>
      <c r="FH80" s="230"/>
      <c r="FI80" s="230"/>
      <c r="FJ80" s="230"/>
      <c r="FK80" s="230"/>
      <c r="FL80" s="230"/>
      <c r="FM80" s="230"/>
      <c r="FN80" s="230"/>
      <c r="FO80" s="230"/>
      <c r="FP80" s="230"/>
      <c r="FQ80" s="230"/>
      <c r="FR80" s="230"/>
      <c r="FS80" s="230"/>
      <c r="FT80" s="230"/>
      <c r="FU80" s="230"/>
      <c r="FV80" s="230"/>
      <c r="FW80" s="230"/>
      <c r="FX80" s="230"/>
      <c r="FY80" s="230"/>
      <c r="FZ80" s="230"/>
      <c r="GA80" s="230"/>
      <c r="GB80" s="230"/>
      <c r="GC80" s="230"/>
      <c r="GD80" s="230"/>
      <c r="GE80" s="230"/>
      <c r="GF80" s="230"/>
      <c r="GG80" s="230"/>
      <c r="GH80" s="230"/>
      <c r="GI80" s="230"/>
      <c r="GJ80" s="230"/>
      <c r="GK80" s="230"/>
      <c r="GL80" s="230"/>
      <c r="GM80" s="230"/>
      <c r="GN80" s="230"/>
      <c r="GO80" s="230"/>
      <c r="GP80" s="230"/>
      <c r="GQ80" s="230"/>
      <c r="GR80" s="230"/>
      <c r="GS80" s="230"/>
      <c r="GT80" s="230"/>
      <c r="GU80" s="230"/>
      <c r="GV80" s="230"/>
      <c r="GW80" s="230"/>
      <c r="GX80" s="230"/>
      <c r="GY80" s="230"/>
      <c r="GZ80" s="230"/>
      <c r="HA80" s="230"/>
      <c r="HB80" s="230"/>
      <c r="HC80" s="230"/>
      <c r="HD80" s="230"/>
      <c r="HE80" s="230"/>
      <c r="HF80" s="230"/>
      <c r="HG80" s="230"/>
      <c r="HH80" s="230"/>
      <c r="HI80" s="230"/>
      <c r="HJ80" s="230"/>
      <c r="HK80" s="230"/>
      <c r="HL80" s="230"/>
      <c r="HM80" s="230"/>
      <c r="HN80" s="230"/>
      <c r="HO80" s="230"/>
      <c r="HP80" s="230"/>
      <c r="HQ80" s="230"/>
      <c r="HR80" s="230"/>
      <c r="HS80" s="230"/>
      <c r="HT80" s="230"/>
      <c r="HU80" s="230"/>
      <c r="HV80" s="230"/>
      <c r="HW80" s="230"/>
      <c r="HX80" s="230"/>
      <c r="HY80" s="230"/>
      <c r="HZ80" s="230"/>
      <c r="IA80" s="230"/>
      <c r="IB80" s="230"/>
      <c r="IC80" s="230"/>
      <c r="ID80" s="230"/>
      <c r="IE80" s="230"/>
      <c r="IF80" s="230"/>
      <c r="IG80" s="230"/>
      <c r="IH80" s="230"/>
      <c r="II80" s="230"/>
      <c r="IJ80" s="230"/>
      <c r="IK80" s="230"/>
      <c r="IL80" s="230"/>
      <c r="IM80" s="230"/>
      <c r="IN80" s="230"/>
      <c r="IO80" s="230"/>
      <c r="IP80" s="230"/>
    </row>
    <row r="82" spans="1:2">
      <c r="A82" s="744" t="s">
        <v>3816</v>
      </c>
      <c r="B82" s="744"/>
    </row>
    <row r="83" spans="1:2">
      <c r="B83">
        <f>5.94*B56*12</f>
        <v>113976.72000000002</v>
      </c>
    </row>
  </sheetData>
  <mergeCells count="5">
    <mergeCell ref="A1:B1"/>
    <mergeCell ref="A2:B2"/>
    <mergeCell ref="A3:B3"/>
    <mergeCell ref="A53:B53"/>
    <mergeCell ref="A82:B8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9"/>
  <sheetViews>
    <sheetView topLeftCell="A196" workbookViewId="0">
      <selection activeCell="A199" sqref="A199:B225"/>
    </sheetView>
  </sheetViews>
  <sheetFormatPr defaultRowHeight="15"/>
  <cols>
    <col min="1" max="1" width="93" customWidth="1"/>
    <col min="2" max="2" width="15.7109375" customWidth="1"/>
  </cols>
  <sheetData>
    <row r="1" spans="1:2" s="73" customFormat="1" ht="15.75">
      <c r="A1" s="701" t="s">
        <v>364</v>
      </c>
      <c r="B1" s="701"/>
    </row>
    <row r="2" spans="1:2" s="73" customFormat="1" ht="15.75">
      <c r="A2" s="702" t="s">
        <v>249</v>
      </c>
      <c r="B2" s="702"/>
    </row>
    <row r="3" spans="1:2" s="86" customFormat="1" ht="15.75">
      <c r="A3" s="702" t="s">
        <v>2756</v>
      </c>
      <c r="B3" s="702"/>
    </row>
    <row r="4" spans="1:2" s="55" customFormat="1" ht="15.75">
      <c r="A4" s="126"/>
      <c r="B4" s="74"/>
    </row>
    <row r="5" spans="1:2" ht="30">
      <c r="A5" s="595" t="s">
        <v>229</v>
      </c>
      <c r="B5" s="82" t="s">
        <v>523</v>
      </c>
    </row>
    <row r="6" spans="1:2" s="73" customFormat="1">
      <c r="A6" s="191" t="s">
        <v>0</v>
      </c>
      <c r="B6" s="72"/>
    </row>
    <row r="7" spans="1:2" s="73" customFormat="1" ht="15.75" thickBot="1">
      <c r="A7" s="348" t="s">
        <v>29</v>
      </c>
      <c r="B7" s="129"/>
    </row>
    <row r="8" spans="1:2" s="73" customFormat="1" ht="15.75" thickBot="1">
      <c r="A8" s="262" t="s">
        <v>2933</v>
      </c>
      <c r="B8" s="129"/>
    </row>
    <row r="9" spans="1:2" s="73" customFormat="1" ht="15.75" thickBot="1">
      <c r="A9" s="599" t="s">
        <v>56</v>
      </c>
      <c r="B9" s="72"/>
    </row>
    <row r="10" spans="1:2" s="73" customFormat="1" ht="15.75" thickBot="1">
      <c r="A10" s="454" t="s">
        <v>57</v>
      </c>
      <c r="B10" s="123"/>
    </row>
    <row r="11" spans="1:2" s="73" customFormat="1" ht="15.75" thickBot="1">
      <c r="A11" s="540" t="s">
        <v>2757</v>
      </c>
      <c r="B11" s="72">
        <v>1</v>
      </c>
    </row>
    <row r="12" spans="1:2" s="73" customFormat="1" ht="21.75" customHeight="1">
      <c r="A12" s="608" t="s">
        <v>2767</v>
      </c>
      <c r="B12" s="72">
        <v>6</v>
      </c>
    </row>
    <row r="13" spans="1:2" s="73" customFormat="1" ht="21.75" customHeight="1">
      <c r="A13" s="400" t="s">
        <v>2768</v>
      </c>
      <c r="B13" s="72">
        <v>1.5</v>
      </c>
    </row>
    <row r="14" spans="1:2" s="73" customFormat="1" ht="21.75" customHeight="1">
      <c r="A14" s="400" t="s">
        <v>2769</v>
      </c>
      <c r="B14" s="72">
        <v>1</v>
      </c>
    </row>
    <row r="15" spans="1:2" s="73" customFormat="1">
      <c r="A15" s="132" t="s">
        <v>2770</v>
      </c>
      <c r="B15" s="72">
        <v>4</v>
      </c>
    </row>
    <row r="16" spans="1:2" s="73" customFormat="1" ht="28.5">
      <c r="A16" s="535" t="s">
        <v>2075</v>
      </c>
      <c r="B16" s="72">
        <v>1.5</v>
      </c>
    </row>
    <row r="17" spans="1:2" ht="14.25" customHeight="1">
      <c r="A17" s="94" t="s">
        <v>2789</v>
      </c>
      <c r="B17" s="72">
        <v>2</v>
      </c>
    </row>
    <row r="18" spans="1:2" s="73" customFormat="1" ht="33.75" customHeight="1">
      <c r="A18" s="597" t="s">
        <v>2790</v>
      </c>
      <c r="B18" s="72">
        <v>2</v>
      </c>
    </row>
    <row r="19" spans="1:2" s="73" customFormat="1" ht="28.5">
      <c r="A19" s="598" t="s">
        <v>2791</v>
      </c>
      <c r="B19" s="72">
        <v>8</v>
      </c>
    </row>
    <row r="20" spans="1:2" s="73" customFormat="1" ht="28.5">
      <c r="A20" s="597" t="s">
        <v>2792</v>
      </c>
      <c r="B20" s="72">
        <v>4</v>
      </c>
    </row>
    <row r="21" spans="1:2" s="73" customFormat="1" ht="28.5" customHeight="1">
      <c r="A21" s="598" t="s">
        <v>2793</v>
      </c>
      <c r="B21" s="72">
        <v>3</v>
      </c>
    </row>
    <row r="22" spans="1:2" s="73" customFormat="1" ht="27" customHeight="1">
      <c r="A22" s="94" t="s">
        <v>2806</v>
      </c>
      <c r="B22" s="72">
        <v>1</v>
      </c>
    </row>
    <row r="23" spans="1:2" s="73" customFormat="1">
      <c r="A23" s="132" t="s">
        <v>3707</v>
      </c>
      <c r="B23" s="72">
        <v>2</v>
      </c>
    </row>
    <row r="24" spans="1:2" s="73" customFormat="1" ht="18" customHeight="1">
      <c r="A24" s="606" t="s">
        <v>2824</v>
      </c>
      <c r="B24" s="72">
        <v>2</v>
      </c>
    </row>
    <row r="25" spans="1:2" s="73" customFormat="1">
      <c r="A25" s="607" t="s">
        <v>2858</v>
      </c>
      <c r="B25" s="72">
        <v>4</v>
      </c>
    </row>
    <row r="26" spans="1:2" s="73" customFormat="1" ht="13.5" customHeight="1">
      <c r="A26" s="72" t="s">
        <v>2880</v>
      </c>
      <c r="B26" s="72">
        <v>4</v>
      </c>
    </row>
    <row r="27" spans="1:2" s="73" customFormat="1" ht="32.25" customHeight="1">
      <c r="A27" s="606" t="s">
        <v>2906</v>
      </c>
      <c r="B27" s="72">
        <v>8</v>
      </c>
    </row>
    <row r="28" spans="1:2" s="73" customFormat="1">
      <c r="A28" s="400" t="s">
        <v>2278</v>
      </c>
      <c r="B28" s="549">
        <v>0.5</v>
      </c>
    </row>
    <row r="29" spans="1:2" s="73" customFormat="1">
      <c r="A29" s="601" t="s">
        <v>66</v>
      </c>
      <c r="B29" s="72"/>
    </row>
    <row r="30" spans="1:2" s="73" customFormat="1" ht="36" customHeight="1">
      <c r="A30" s="97" t="s">
        <v>2795</v>
      </c>
      <c r="B30" s="72">
        <v>8</v>
      </c>
    </row>
    <row r="31" spans="1:2" s="73" customFormat="1" ht="15" customHeight="1">
      <c r="A31" s="84" t="s">
        <v>2796</v>
      </c>
      <c r="B31" s="72">
        <v>1</v>
      </c>
    </row>
    <row r="32" spans="1:2" s="73" customFormat="1" ht="15" customHeight="1">
      <c r="A32" s="84" t="s">
        <v>2797</v>
      </c>
      <c r="B32" s="72">
        <v>2</v>
      </c>
    </row>
    <row r="33" spans="1:2" s="73" customFormat="1">
      <c r="A33" s="138" t="s">
        <v>2859</v>
      </c>
      <c r="B33" s="72">
        <v>1</v>
      </c>
    </row>
    <row r="34" spans="1:2" s="73" customFormat="1" ht="33" customHeight="1">
      <c r="A34" s="97" t="s">
        <v>2881</v>
      </c>
      <c r="B34" s="72">
        <v>2</v>
      </c>
    </row>
    <row r="35" spans="1:2" s="73" customFormat="1" ht="30" customHeight="1">
      <c r="A35" s="97" t="s">
        <v>2907</v>
      </c>
      <c r="B35" s="72">
        <v>4</v>
      </c>
    </row>
    <row r="36" spans="1:2" s="73" customFormat="1" ht="33" customHeight="1">
      <c r="A36" s="97" t="s">
        <v>2908</v>
      </c>
      <c r="B36" s="72">
        <v>3</v>
      </c>
    </row>
    <row r="37" spans="1:2" s="73" customFormat="1" ht="33" customHeight="1">
      <c r="A37" s="97" t="s">
        <v>2909</v>
      </c>
      <c r="B37" s="72">
        <v>8</v>
      </c>
    </row>
    <row r="38" spans="1:2" s="73" customFormat="1" ht="18.75" customHeight="1">
      <c r="A38" s="84" t="s">
        <v>2910</v>
      </c>
      <c r="B38" s="72">
        <v>2</v>
      </c>
    </row>
    <row r="39" spans="1:2" s="73" customFormat="1" ht="15" customHeight="1">
      <c r="A39" s="84" t="s">
        <v>2911</v>
      </c>
      <c r="B39" s="72">
        <v>2</v>
      </c>
    </row>
    <row r="40" spans="1:2" s="73" customFormat="1" ht="28.5">
      <c r="A40" s="606" t="s">
        <v>2912</v>
      </c>
      <c r="B40" s="72">
        <v>16</v>
      </c>
    </row>
    <row r="41" spans="1:2" s="73" customFormat="1" ht="36" customHeight="1">
      <c r="A41" s="97" t="s">
        <v>2913</v>
      </c>
      <c r="B41" s="72">
        <v>4</v>
      </c>
    </row>
    <row r="42" spans="1:2" s="73" customFormat="1">
      <c r="A42" s="602" t="s">
        <v>590</v>
      </c>
      <c r="B42" s="72"/>
    </row>
    <row r="43" spans="1:2" s="73" customFormat="1" ht="28.5">
      <c r="A43" s="596" t="s">
        <v>2758</v>
      </c>
      <c r="B43" s="72">
        <v>1</v>
      </c>
    </row>
    <row r="44" spans="1:2" s="73" customFormat="1">
      <c r="A44" s="400" t="s">
        <v>2759</v>
      </c>
      <c r="B44" s="72">
        <v>1</v>
      </c>
    </row>
    <row r="45" spans="1:2" s="73" customFormat="1">
      <c r="A45" s="400" t="s">
        <v>2760</v>
      </c>
      <c r="B45" s="72">
        <v>2</v>
      </c>
    </row>
    <row r="46" spans="1:2" s="73" customFormat="1" ht="28.5">
      <c r="A46" s="400" t="s">
        <v>2761</v>
      </c>
      <c r="B46" s="72">
        <v>1</v>
      </c>
    </row>
    <row r="47" spans="1:2" s="73" customFormat="1">
      <c r="A47" s="400" t="s">
        <v>2771</v>
      </c>
      <c r="B47" s="72">
        <v>1</v>
      </c>
    </row>
    <row r="48" spans="1:2" s="73" customFormat="1" ht="28.5">
      <c r="A48" s="400" t="s">
        <v>2772</v>
      </c>
      <c r="B48" s="72">
        <v>1</v>
      </c>
    </row>
    <row r="49" spans="1:2" s="73" customFormat="1" ht="28.5">
      <c r="A49" s="400" t="s">
        <v>2773</v>
      </c>
      <c r="B49" s="72">
        <v>3</v>
      </c>
    </row>
    <row r="50" spans="1:2" s="73" customFormat="1" ht="28.5">
      <c r="A50" s="400" t="s">
        <v>2774</v>
      </c>
      <c r="B50" s="72">
        <v>2</v>
      </c>
    </row>
    <row r="51" spans="1:2" s="73" customFormat="1" ht="28.5">
      <c r="A51" s="400" t="s">
        <v>2775</v>
      </c>
      <c r="B51" s="72">
        <v>2</v>
      </c>
    </row>
    <row r="52" spans="1:2" s="73" customFormat="1" ht="28.5">
      <c r="A52" s="400" t="s">
        <v>2054</v>
      </c>
      <c r="B52" s="72">
        <v>1</v>
      </c>
    </row>
    <row r="53" spans="1:2" s="73" customFormat="1" ht="28.5">
      <c r="A53" s="400" t="s">
        <v>2776</v>
      </c>
      <c r="B53" s="72">
        <v>2</v>
      </c>
    </row>
    <row r="54" spans="1:2" s="73" customFormat="1">
      <c r="A54" s="400" t="s">
        <v>2777</v>
      </c>
      <c r="B54" s="72">
        <v>2</v>
      </c>
    </row>
    <row r="55" spans="1:2" s="73" customFormat="1" ht="28.5">
      <c r="A55" s="400" t="s">
        <v>2778</v>
      </c>
      <c r="B55" s="72">
        <v>2</v>
      </c>
    </row>
    <row r="56" spans="1:2" s="73" customFormat="1">
      <c r="A56" s="400" t="s">
        <v>2779</v>
      </c>
      <c r="B56" s="72">
        <v>4</v>
      </c>
    </row>
    <row r="57" spans="1:2" s="73" customFormat="1">
      <c r="A57" s="400" t="s">
        <v>2780</v>
      </c>
      <c r="B57" s="72">
        <v>2</v>
      </c>
    </row>
    <row r="58" spans="1:2" s="73" customFormat="1">
      <c r="A58" s="400" t="s">
        <v>2781</v>
      </c>
      <c r="B58" s="72">
        <v>2</v>
      </c>
    </row>
    <row r="59" spans="1:2" s="73" customFormat="1">
      <c r="A59" s="400" t="s">
        <v>2798</v>
      </c>
      <c r="B59" s="72">
        <v>3</v>
      </c>
    </row>
    <row r="60" spans="1:2" s="73" customFormat="1" ht="28.5">
      <c r="A60" s="400" t="s">
        <v>2794</v>
      </c>
      <c r="B60" s="72">
        <v>1</v>
      </c>
    </row>
    <row r="61" spans="1:2" s="73" customFormat="1" ht="28.5">
      <c r="A61" s="400" t="s">
        <v>2807</v>
      </c>
      <c r="B61" s="72">
        <v>4</v>
      </c>
    </row>
    <row r="62" spans="1:2" s="73" customFormat="1">
      <c r="A62" s="400" t="s">
        <v>2808</v>
      </c>
      <c r="B62" s="72">
        <v>1</v>
      </c>
    </row>
    <row r="63" spans="1:2" s="73" customFormat="1">
      <c r="A63" s="400" t="s">
        <v>2809</v>
      </c>
      <c r="B63" s="72">
        <v>1</v>
      </c>
    </row>
    <row r="64" spans="1:2" s="73" customFormat="1">
      <c r="A64" s="400" t="s">
        <v>2810</v>
      </c>
      <c r="B64" s="72">
        <v>1</v>
      </c>
    </row>
    <row r="65" spans="1:2" s="73" customFormat="1">
      <c r="A65" s="400" t="s">
        <v>2811</v>
      </c>
      <c r="B65" s="72">
        <v>1</v>
      </c>
    </row>
    <row r="66" spans="1:2" s="73" customFormat="1" ht="17.25" customHeight="1">
      <c r="A66" s="400" t="s">
        <v>2813</v>
      </c>
      <c r="B66" s="72">
        <v>1</v>
      </c>
    </row>
    <row r="67" spans="1:2" s="73" customFormat="1" ht="19.5" customHeight="1">
      <c r="A67" s="400" t="s">
        <v>2814</v>
      </c>
      <c r="B67" s="72">
        <v>8</v>
      </c>
    </row>
    <row r="68" spans="1:2" s="73" customFormat="1" ht="18" customHeight="1">
      <c r="A68" s="400" t="s">
        <v>2815</v>
      </c>
      <c r="B68" s="72">
        <v>1</v>
      </c>
    </row>
    <row r="69" spans="1:2" s="73" customFormat="1" ht="28.5">
      <c r="A69" s="400" t="s">
        <v>2812</v>
      </c>
      <c r="B69" s="72">
        <v>1</v>
      </c>
    </row>
    <row r="70" spans="1:2" s="73" customFormat="1" ht="28.5">
      <c r="A70" s="267" t="s">
        <v>2103</v>
      </c>
      <c r="B70" s="72">
        <v>1</v>
      </c>
    </row>
    <row r="71" spans="1:2" s="73" customFormat="1" ht="28.5">
      <c r="A71" s="400" t="s">
        <v>2825</v>
      </c>
      <c r="B71" s="72">
        <v>1</v>
      </c>
    </row>
    <row r="72" spans="1:2" s="73" customFormat="1">
      <c r="A72" s="400" t="s">
        <v>2826</v>
      </c>
      <c r="B72" s="72">
        <v>3</v>
      </c>
    </row>
    <row r="73" spans="1:2" s="73" customFormat="1">
      <c r="A73" s="400" t="s">
        <v>2827</v>
      </c>
      <c r="B73" s="72">
        <v>1</v>
      </c>
    </row>
    <row r="74" spans="1:2" s="73" customFormat="1">
      <c r="A74" s="400" t="s">
        <v>2828</v>
      </c>
      <c r="B74" s="72">
        <v>2</v>
      </c>
    </row>
    <row r="75" spans="1:2" s="73" customFormat="1" ht="28.5">
      <c r="A75" s="400" t="s">
        <v>2829</v>
      </c>
      <c r="B75" s="72">
        <v>1</v>
      </c>
    </row>
    <row r="76" spans="1:2" s="73" customFormat="1">
      <c r="A76" s="400" t="s">
        <v>2872</v>
      </c>
      <c r="B76" s="72">
        <v>3</v>
      </c>
    </row>
    <row r="77" spans="1:2" s="73" customFormat="1">
      <c r="A77" s="400" t="s">
        <v>2873</v>
      </c>
      <c r="B77" s="72">
        <v>4</v>
      </c>
    </row>
    <row r="78" spans="1:2" s="73" customFormat="1" ht="28.5">
      <c r="A78" s="400" t="s">
        <v>2834</v>
      </c>
      <c r="B78" s="72">
        <v>1</v>
      </c>
    </row>
    <row r="79" spans="1:2" s="73" customFormat="1" ht="33.75" customHeight="1">
      <c r="A79" s="527" t="s">
        <v>2156</v>
      </c>
      <c r="B79" s="72">
        <v>1</v>
      </c>
    </row>
    <row r="80" spans="1:2" s="73" customFormat="1">
      <c r="A80" s="400" t="s">
        <v>2835</v>
      </c>
      <c r="B80" s="72">
        <v>4</v>
      </c>
    </row>
    <row r="81" spans="1:2" s="73" customFormat="1">
      <c r="A81" s="400" t="s">
        <v>2836</v>
      </c>
      <c r="B81" s="72">
        <v>3</v>
      </c>
    </row>
    <row r="82" spans="1:2" s="73" customFormat="1">
      <c r="A82" s="400" t="s">
        <v>2837</v>
      </c>
      <c r="B82" s="72">
        <v>4</v>
      </c>
    </row>
    <row r="83" spans="1:2" s="73" customFormat="1" ht="18.75" customHeight="1">
      <c r="A83" s="400" t="s">
        <v>2838</v>
      </c>
      <c r="B83" s="72">
        <v>2</v>
      </c>
    </row>
    <row r="84" spans="1:2" s="73" customFormat="1" ht="18.75" customHeight="1">
      <c r="A84" s="400" t="s">
        <v>2839</v>
      </c>
      <c r="B84" s="72">
        <v>4</v>
      </c>
    </row>
    <row r="85" spans="1:2" s="73" customFormat="1" ht="30" customHeight="1">
      <c r="A85" s="400" t="s">
        <v>2840</v>
      </c>
      <c r="B85" s="72">
        <v>1</v>
      </c>
    </row>
    <row r="86" spans="1:2" s="73" customFormat="1" ht="30" customHeight="1">
      <c r="A86" s="400" t="s">
        <v>2852</v>
      </c>
      <c r="B86" s="72">
        <v>1</v>
      </c>
    </row>
    <row r="87" spans="1:2" s="73" customFormat="1" ht="30" customHeight="1">
      <c r="A87" s="400" t="s">
        <v>2853</v>
      </c>
      <c r="B87" s="72">
        <v>2</v>
      </c>
    </row>
    <row r="88" spans="1:2" s="73" customFormat="1" ht="30" customHeight="1">
      <c r="A88" s="400" t="s">
        <v>2847</v>
      </c>
      <c r="B88" s="72">
        <v>1</v>
      </c>
    </row>
    <row r="89" spans="1:2" s="73" customFormat="1" ht="30" customHeight="1">
      <c r="A89" s="400" t="s">
        <v>2848</v>
      </c>
      <c r="B89" s="72">
        <v>4</v>
      </c>
    </row>
    <row r="90" spans="1:2" s="73" customFormat="1" ht="30" customHeight="1">
      <c r="A90" s="400" t="s">
        <v>2849</v>
      </c>
      <c r="B90" s="72">
        <v>2</v>
      </c>
    </row>
    <row r="91" spans="1:2" s="73" customFormat="1" ht="30" customHeight="1">
      <c r="A91" s="400" t="s">
        <v>2850</v>
      </c>
      <c r="B91" s="72">
        <v>6</v>
      </c>
    </row>
    <row r="92" spans="1:2" s="73" customFormat="1" ht="22.5" customHeight="1">
      <c r="A92" s="400" t="s">
        <v>2851</v>
      </c>
      <c r="B92" s="72">
        <v>2</v>
      </c>
    </row>
    <row r="93" spans="1:2" s="73" customFormat="1" ht="22.5" customHeight="1">
      <c r="A93" s="400" t="s">
        <v>2860</v>
      </c>
      <c r="B93" s="72">
        <v>8</v>
      </c>
    </row>
    <row r="94" spans="1:2" s="73" customFormat="1" ht="29.25" customHeight="1">
      <c r="A94" s="400" t="s">
        <v>2861</v>
      </c>
      <c r="B94" s="72">
        <v>1</v>
      </c>
    </row>
    <row r="95" spans="1:2" s="73" customFormat="1" ht="29.25" customHeight="1">
      <c r="A95" s="400" t="s">
        <v>2862</v>
      </c>
      <c r="B95" s="72">
        <v>6</v>
      </c>
    </row>
    <row r="96" spans="1:2" s="73" customFormat="1" ht="21" customHeight="1">
      <c r="A96" s="400" t="s">
        <v>2863</v>
      </c>
      <c r="B96" s="72">
        <v>2</v>
      </c>
    </row>
    <row r="97" spans="1:2" s="73" customFormat="1" ht="30" customHeight="1">
      <c r="A97" s="400" t="s">
        <v>2864</v>
      </c>
      <c r="B97" s="72">
        <v>2</v>
      </c>
    </row>
    <row r="98" spans="1:2" s="73" customFormat="1" ht="18" customHeight="1">
      <c r="A98" s="400" t="s">
        <v>2878</v>
      </c>
      <c r="B98" s="72">
        <v>1</v>
      </c>
    </row>
    <row r="99" spans="1:2" s="73" customFormat="1" ht="30" customHeight="1">
      <c r="A99" s="400" t="s">
        <v>2879</v>
      </c>
      <c r="B99" s="72">
        <v>1</v>
      </c>
    </row>
    <row r="100" spans="1:2" s="73" customFormat="1" ht="18" customHeight="1">
      <c r="A100" s="400" t="s">
        <v>2874</v>
      </c>
      <c r="B100" s="72">
        <v>4</v>
      </c>
    </row>
    <row r="101" spans="1:2" s="73" customFormat="1" ht="30.75" customHeight="1">
      <c r="A101" s="400" t="s">
        <v>2875</v>
      </c>
      <c r="B101" s="72">
        <v>2</v>
      </c>
    </row>
    <row r="102" spans="1:2" s="73" customFormat="1" ht="21" customHeight="1">
      <c r="A102" s="400" t="s">
        <v>2876</v>
      </c>
      <c r="B102" s="72">
        <v>2</v>
      </c>
    </row>
    <row r="103" spans="1:2" s="73" customFormat="1">
      <c r="A103" s="400" t="s">
        <v>2882</v>
      </c>
      <c r="B103" s="72">
        <v>2</v>
      </c>
    </row>
    <row r="104" spans="1:2" s="73" customFormat="1">
      <c r="A104" s="400" t="s">
        <v>2883</v>
      </c>
      <c r="B104" s="72">
        <v>8</v>
      </c>
    </row>
    <row r="105" spans="1:2" ht="30">
      <c r="A105" s="142" t="s">
        <v>2234</v>
      </c>
      <c r="B105" s="127">
        <v>1</v>
      </c>
    </row>
    <row r="106" spans="1:2" s="73" customFormat="1">
      <c r="A106" s="400" t="s">
        <v>2884</v>
      </c>
      <c r="B106" s="72">
        <v>4</v>
      </c>
    </row>
    <row r="107" spans="1:2" s="73" customFormat="1" ht="28.5">
      <c r="A107" s="400" t="s">
        <v>2885</v>
      </c>
      <c r="B107" s="72">
        <v>2</v>
      </c>
    </row>
    <row r="108" spans="1:2" s="73" customFormat="1">
      <c r="A108" s="400" t="s">
        <v>2886</v>
      </c>
      <c r="B108" s="72">
        <v>1</v>
      </c>
    </row>
    <row r="109" spans="1:2" s="73" customFormat="1">
      <c r="A109" s="400" t="s">
        <v>2887</v>
      </c>
      <c r="B109" s="72">
        <v>1</v>
      </c>
    </row>
    <row r="110" spans="1:2" s="73" customFormat="1" ht="28.5">
      <c r="A110" s="226" t="s">
        <v>2888</v>
      </c>
      <c r="B110" s="72">
        <v>2</v>
      </c>
    </row>
    <row r="111" spans="1:2" s="73" customFormat="1">
      <c r="A111" s="400" t="s">
        <v>2889</v>
      </c>
      <c r="B111" s="72">
        <v>1</v>
      </c>
    </row>
    <row r="112" spans="1:2" s="73" customFormat="1">
      <c r="A112" s="400" t="s">
        <v>2890</v>
      </c>
      <c r="B112" s="72">
        <v>1</v>
      </c>
    </row>
    <row r="113" spans="1:2" s="73" customFormat="1" ht="15" customHeight="1">
      <c r="A113" s="603" t="s">
        <v>2891</v>
      </c>
      <c r="B113" s="72">
        <v>4</v>
      </c>
    </row>
    <row r="114" spans="1:2" s="73" customFormat="1" ht="15" customHeight="1">
      <c r="A114" s="603" t="s">
        <v>2892</v>
      </c>
      <c r="B114" s="72">
        <v>1</v>
      </c>
    </row>
    <row r="115" spans="1:2" s="73" customFormat="1">
      <c r="A115" s="400" t="s">
        <v>2893</v>
      </c>
      <c r="B115" s="72">
        <v>1</v>
      </c>
    </row>
    <row r="116" spans="1:2" s="73" customFormat="1" ht="30" customHeight="1">
      <c r="A116" s="603" t="s">
        <v>2894</v>
      </c>
      <c r="B116" s="72">
        <v>2</v>
      </c>
    </row>
    <row r="117" spans="1:2" s="73" customFormat="1" ht="15" customHeight="1">
      <c r="A117" s="603" t="s">
        <v>2895</v>
      </c>
      <c r="B117" s="99">
        <v>2</v>
      </c>
    </row>
    <row r="118" spans="1:2" s="73" customFormat="1" ht="15" customHeight="1">
      <c r="A118" s="603" t="s">
        <v>2896</v>
      </c>
      <c r="B118" s="72">
        <v>4</v>
      </c>
    </row>
    <row r="119" spans="1:2" s="73" customFormat="1" ht="18.75" customHeight="1">
      <c r="A119" s="604" t="s">
        <v>2914</v>
      </c>
      <c r="B119" s="72">
        <v>1</v>
      </c>
    </row>
    <row r="120" spans="1:2" s="73" customFormat="1">
      <c r="A120" s="604" t="s">
        <v>2915</v>
      </c>
      <c r="B120" s="72">
        <v>1</v>
      </c>
    </row>
    <row r="121" spans="1:2" s="73" customFormat="1" ht="15" customHeight="1">
      <c r="A121" s="84" t="s">
        <v>2916</v>
      </c>
      <c r="B121" s="72">
        <v>1</v>
      </c>
    </row>
    <row r="122" spans="1:2" s="73" customFormat="1" ht="15" customHeight="1">
      <c r="A122" s="84" t="s">
        <v>2917</v>
      </c>
      <c r="B122" s="72">
        <v>1</v>
      </c>
    </row>
    <row r="123" spans="1:2" s="73" customFormat="1" ht="20.25" customHeight="1">
      <c r="A123" s="400" t="s">
        <v>3783</v>
      </c>
      <c r="B123" s="72">
        <v>1</v>
      </c>
    </row>
    <row r="124" spans="1:2" s="73" customFormat="1" ht="31.5" customHeight="1">
      <c r="A124" s="603" t="s">
        <v>2918</v>
      </c>
      <c r="B124" s="72">
        <v>1</v>
      </c>
    </row>
    <row r="125" spans="1:2" s="73" customFormat="1" ht="15.75" customHeight="1">
      <c r="A125" s="603" t="s">
        <v>2919</v>
      </c>
      <c r="B125" s="72">
        <v>1</v>
      </c>
    </row>
    <row r="126" spans="1:2" s="73" customFormat="1" ht="15.75" customHeight="1">
      <c r="A126" s="603" t="s">
        <v>2920</v>
      </c>
      <c r="B126" s="72">
        <v>2</v>
      </c>
    </row>
    <row r="127" spans="1:2" s="73" customFormat="1" ht="15.75" customHeight="1">
      <c r="A127" s="603" t="s">
        <v>2921</v>
      </c>
      <c r="B127" s="72">
        <v>1</v>
      </c>
    </row>
    <row r="128" spans="1:2" s="73" customFormat="1" ht="15.75" customHeight="1">
      <c r="A128" s="603" t="s">
        <v>2922</v>
      </c>
      <c r="B128" s="72">
        <v>1</v>
      </c>
    </row>
    <row r="129" spans="1:2" s="73" customFormat="1" ht="15.75" customHeight="1">
      <c r="A129" s="603" t="s">
        <v>2923</v>
      </c>
      <c r="B129" s="72">
        <v>1</v>
      </c>
    </row>
    <row r="130" spans="1:2" s="73" customFormat="1" ht="15.75" customHeight="1">
      <c r="A130" s="603" t="s">
        <v>2924</v>
      </c>
      <c r="B130" s="72">
        <v>1</v>
      </c>
    </row>
    <row r="131" spans="1:2" s="73" customFormat="1" ht="15.75" customHeight="1">
      <c r="A131" s="603" t="s">
        <v>2925</v>
      </c>
      <c r="B131" s="72">
        <v>1</v>
      </c>
    </row>
    <row r="132" spans="1:2" s="73" customFormat="1" ht="15.75" customHeight="1">
      <c r="A132" s="600" t="s">
        <v>102</v>
      </c>
      <c r="B132" s="72"/>
    </row>
    <row r="133" spans="1:2" s="73" customFormat="1">
      <c r="A133" s="400" t="s">
        <v>2762</v>
      </c>
      <c r="B133" s="72">
        <v>2</v>
      </c>
    </row>
    <row r="134" spans="1:2" s="73" customFormat="1">
      <c r="A134" s="157" t="s">
        <v>2763</v>
      </c>
      <c r="B134" s="72">
        <v>1</v>
      </c>
    </row>
    <row r="135" spans="1:2" s="73" customFormat="1" ht="28.5">
      <c r="A135" s="400" t="s">
        <v>2764</v>
      </c>
      <c r="B135" s="72">
        <v>1.5</v>
      </c>
    </row>
    <row r="136" spans="1:2" s="73" customFormat="1" ht="15.75" thickBot="1">
      <c r="A136" s="400" t="s">
        <v>2765</v>
      </c>
      <c r="B136" s="72">
        <v>1</v>
      </c>
    </row>
    <row r="137" spans="1:2" s="73" customFormat="1" ht="15" customHeight="1">
      <c r="A137" s="538" t="s">
        <v>2766</v>
      </c>
      <c r="B137" s="72">
        <v>1</v>
      </c>
    </row>
    <row r="138" spans="1:2" s="73" customFormat="1">
      <c r="A138" s="400" t="s">
        <v>2782</v>
      </c>
      <c r="B138" s="72">
        <v>1</v>
      </c>
    </row>
    <row r="139" spans="1:2" s="73" customFormat="1" ht="28.5">
      <c r="A139" s="400" t="s">
        <v>2783</v>
      </c>
      <c r="B139" s="72">
        <v>2</v>
      </c>
    </row>
    <row r="140" spans="1:2" s="73" customFormat="1">
      <c r="A140" s="400" t="s">
        <v>2784</v>
      </c>
      <c r="B140" s="72">
        <v>1</v>
      </c>
    </row>
    <row r="141" spans="1:2" s="73" customFormat="1">
      <c r="A141" s="400" t="s">
        <v>2785</v>
      </c>
      <c r="B141" s="72">
        <v>2</v>
      </c>
    </row>
    <row r="142" spans="1:2" s="73" customFormat="1" ht="28.5">
      <c r="A142" s="400" t="s">
        <v>2786</v>
      </c>
      <c r="B142" s="72">
        <v>1</v>
      </c>
    </row>
    <row r="143" spans="1:2" s="73" customFormat="1" ht="23.25" customHeight="1">
      <c r="A143" s="400" t="s">
        <v>2787</v>
      </c>
      <c r="B143" s="72">
        <v>1</v>
      </c>
    </row>
    <row r="144" spans="1:2" s="73" customFormat="1" ht="28.5">
      <c r="A144" s="400" t="s">
        <v>2788</v>
      </c>
      <c r="B144" s="72">
        <v>1</v>
      </c>
    </row>
    <row r="145" spans="1:2" s="73" customFormat="1">
      <c r="A145" s="400" t="s">
        <v>2803</v>
      </c>
      <c r="B145" s="72">
        <v>2</v>
      </c>
    </row>
    <row r="146" spans="1:2" s="73" customFormat="1">
      <c r="A146" s="400" t="s">
        <v>2799</v>
      </c>
      <c r="B146" s="72">
        <v>1</v>
      </c>
    </row>
    <row r="147" spans="1:2" s="73" customFormat="1">
      <c r="A147" s="400" t="s">
        <v>2800</v>
      </c>
      <c r="B147" s="72">
        <v>1</v>
      </c>
    </row>
    <row r="148" spans="1:2" s="73" customFormat="1">
      <c r="A148" s="400" t="s">
        <v>2801</v>
      </c>
      <c r="B148" s="72">
        <v>1</v>
      </c>
    </row>
    <row r="149" spans="1:2" s="73" customFormat="1">
      <c r="A149" s="400" t="s">
        <v>2804</v>
      </c>
      <c r="B149" s="72">
        <v>1</v>
      </c>
    </row>
    <row r="150" spans="1:2" s="73" customFormat="1">
      <c r="A150" s="400" t="s">
        <v>2802</v>
      </c>
      <c r="B150" s="72">
        <v>1</v>
      </c>
    </row>
    <row r="151" spans="1:2" s="73" customFormat="1" ht="16.5" customHeight="1">
      <c r="A151" s="400" t="s">
        <v>2805</v>
      </c>
      <c r="B151" s="72">
        <v>1</v>
      </c>
    </row>
    <row r="152" spans="1:2" s="73" customFormat="1" ht="28.5">
      <c r="A152" s="400" t="s">
        <v>2816</v>
      </c>
      <c r="B152" s="72">
        <v>1</v>
      </c>
    </row>
    <row r="153" spans="1:2" s="73" customFormat="1">
      <c r="A153" s="400" t="s">
        <v>2817</v>
      </c>
      <c r="B153" s="609">
        <v>1</v>
      </c>
    </row>
    <row r="154" spans="1:2" s="73" customFormat="1" ht="28.5">
      <c r="A154" s="400" t="s">
        <v>2818</v>
      </c>
      <c r="B154" s="610">
        <v>2</v>
      </c>
    </row>
    <row r="155" spans="1:2" s="73" customFormat="1">
      <c r="A155" s="400" t="s">
        <v>2819</v>
      </c>
      <c r="B155" s="72">
        <v>1</v>
      </c>
    </row>
    <row r="156" spans="1:2" s="73" customFormat="1" ht="28.5">
      <c r="A156" s="400" t="s">
        <v>2820</v>
      </c>
      <c r="B156" s="72">
        <v>1</v>
      </c>
    </row>
    <row r="157" spans="1:2" s="73" customFormat="1" ht="28.5">
      <c r="A157" s="400" t="s">
        <v>2821</v>
      </c>
      <c r="B157" s="72">
        <v>1</v>
      </c>
    </row>
    <row r="158" spans="1:2" s="73" customFormat="1">
      <c r="A158" s="226" t="s">
        <v>2822</v>
      </c>
      <c r="B158" s="72">
        <v>2</v>
      </c>
    </row>
    <row r="159" spans="1:2" s="73" customFormat="1" ht="28.5">
      <c r="A159" s="400" t="s">
        <v>2823</v>
      </c>
      <c r="B159" s="72">
        <v>1</v>
      </c>
    </row>
    <row r="160" spans="1:2" s="73" customFormat="1" ht="28.5">
      <c r="A160" s="400" t="s">
        <v>2830</v>
      </c>
      <c r="B160" s="72">
        <v>1</v>
      </c>
    </row>
    <row r="161" spans="1:2" s="73" customFormat="1">
      <c r="A161" s="400" t="s">
        <v>2831</v>
      </c>
      <c r="B161" s="609">
        <v>1</v>
      </c>
    </row>
    <row r="162" spans="1:2" s="73" customFormat="1" ht="28.5">
      <c r="A162" s="400" t="s">
        <v>2832</v>
      </c>
      <c r="B162" s="610">
        <v>1</v>
      </c>
    </row>
    <row r="163" spans="1:2" s="73" customFormat="1" ht="28.5">
      <c r="A163" s="400" t="s">
        <v>2833</v>
      </c>
      <c r="B163" s="72">
        <v>1</v>
      </c>
    </row>
    <row r="164" spans="1:2" s="73" customFormat="1">
      <c r="A164" s="400" t="s">
        <v>2841</v>
      </c>
      <c r="B164" s="72">
        <v>1</v>
      </c>
    </row>
    <row r="165" spans="1:2" s="73" customFormat="1">
      <c r="A165" s="400" t="s">
        <v>2842</v>
      </c>
      <c r="B165" s="72">
        <v>1</v>
      </c>
    </row>
    <row r="166" spans="1:2" s="73" customFormat="1" ht="28.5">
      <c r="A166" s="400" t="s">
        <v>2843</v>
      </c>
      <c r="B166" s="72">
        <v>1.5</v>
      </c>
    </row>
    <row r="167" spans="1:2" s="73" customFormat="1">
      <c r="A167" s="603" t="s">
        <v>2844</v>
      </c>
      <c r="B167" s="72">
        <v>1</v>
      </c>
    </row>
    <row r="168" spans="1:2" s="73" customFormat="1" ht="20.25" customHeight="1">
      <c r="A168" s="400" t="s">
        <v>2845</v>
      </c>
      <c r="B168" s="72">
        <v>1</v>
      </c>
    </row>
    <row r="169" spans="1:2" s="73" customFormat="1" ht="28.5">
      <c r="A169" s="400" t="s">
        <v>2846</v>
      </c>
      <c r="B169" s="609">
        <v>1</v>
      </c>
    </row>
    <row r="170" spans="1:2" s="73" customFormat="1">
      <c r="A170" s="400" t="s">
        <v>2854</v>
      </c>
      <c r="B170" s="609">
        <v>1</v>
      </c>
    </row>
    <row r="171" spans="1:2" s="73" customFormat="1">
      <c r="A171" s="400" t="s">
        <v>2856</v>
      </c>
      <c r="B171" s="609">
        <v>1</v>
      </c>
    </row>
    <row r="172" spans="1:2" s="73" customFormat="1" ht="28.5">
      <c r="A172" s="400" t="s">
        <v>2855</v>
      </c>
      <c r="B172" s="610">
        <v>1</v>
      </c>
    </row>
    <row r="173" spans="1:2" s="73" customFormat="1">
      <c r="A173" s="603" t="s">
        <v>2857</v>
      </c>
      <c r="B173" s="72">
        <v>1</v>
      </c>
    </row>
    <row r="174" spans="1:2" s="73" customFormat="1">
      <c r="A174" s="603" t="s">
        <v>2865</v>
      </c>
      <c r="B174" s="72">
        <v>1</v>
      </c>
    </row>
    <row r="175" spans="1:2" s="73" customFormat="1">
      <c r="A175" s="603" t="s">
        <v>2867</v>
      </c>
      <c r="B175" s="72">
        <v>1</v>
      </c>
    </row>
    <row r="176" spans="1:2" s="73" customFormat="1">
      <c r="A176" s="400" t="s">
        <v>2866</v>
      </c>
      <c r="B176" s="72">
        <v>1.5</v>
      </c>
    </row>
    <row r="177" spans="1:2" s="73" customFormat="1">
      <c r="A177" s="603" t="s">
        <v>2868</v>
      </c>
      <c r="B177" s="72">
        <v>1</v>
      </c>
    </row>
    <row r="178" spans="1:2" s="73" customFormat="1" ht="28.5">
      <c r="A178" s="400" t="s">
        <v>2869</v>
      </c>
      <c r="B178" s="72">
        <v>1</v>
      </c>
    </row>
    <row r="179" spans="1:2" s="73" customFormat="1">
      <c r="A179" s="400" t="s">
        <v>2870</v>
      </c>
      <c r="B179" s="72">
        <v>1</v>
      </c>
    </row>
    <row r="180" spans="1:2" s="73" customFormat="1" ht="28.5">
      <c r="A180" s="400" t="s">
        <v>2871</v>
      </c>
      <c r="B180" s="72">
        <v>1</v>
      </c>
    </row>
    <row r="181" spans="1:2" s="73" customFormat="1">
      <c r="A181" s="603" t="s">
        <v>2877</v>
      </c>
      <c r="B181" s="72">
        <v>1</v>
      </c>
    </row>
    <row r="182" spans="1:2" s="73" customFormat="1">
      <c r="A182" s="400" t="s">
        <v>2897</v>
      </c>
      <c r="B182" s="72">
        <v>1</v>
      </c>
    </row>
    <row r="183" spans="1:2" s="73" customFormat="1">
      <c r="A183" s="400" t="s">
        <v>2898</v>
      </c>
      <c r="B183" s="609">
        <v>1</v>
      </c>
    </row>
    <row r="184" spans="1:2" s="73" customFormat="1" ht="28.5">
      <c r="A184" s="400" t="s">
        <v>2899</v>
      </c>
      <c r="B184" s="610">
        <v>1</v>
      </c>
    </row>
    <row r="185" spans="1:2" s="73" customFormat="1" ht="18" customHeight="1">
      <c r="A185" s="603" t="s">
        <v>2900</v>
      </c>
      <c r="B185" s="72">
        <v>1</v>
      </c>
    </row>
    <row r="186" spans="1:2" s="73" customFormat="1">
      <c r="A186" s="400" t="s">
        <v>2901</v>
      </c>
      <c r="B186" s="72">
        <v>1</v>
      </c>
    </row>
    <row r="187" spans="1:2" s="73" customFormat="1">
      <c r="A187" s="400" t="s">
        <v>2902</v>
      </c>
      <c r="B187" s="609">
        <v>1</v>
      </c>
    </row>
    <row r="188" spans="1:2" s="73" customFormat="1">
      <c r="A188" s="400" t="s">
        <v>2903</v>
      </c>
      <c r="B188" s="610">
        <v>1</v>
      </c>
    </row>
    <row r="189" spans="1:2" s="73" customFormat="1">
      <c r="A189" s="400" t="s">
        <v>2904</v>
      </c>
      <c r="B189" s="72">
        <v>1</v>
      </c>
    </row>
    <row r="190" spans="1:2" s="73" customFormat="1">
      <c r="A190" s="400" t="s">
        <v>2905</v>
      </c>
      <c r="B190" s="72">
        <v>1</v>
      </c>
    </row>
    <row r="191" spans="1:2" s="73" customFormat="1" ht="28.5">
      <c r="A191" s="400" t="s">
        <v>2926</v>
      </c>
      <c r="B191" s="72">
        <v>2</v>
      </c>
    </row>
    <row r="192" spans="1:2" s="73" customFormat="1" ht="28.5">
      <c r="A192" s="400" t="s">
        <v>2927</v>
      </c>
      <c r="B192" s="72">
        <v>1</v>
      </c>
    </row>
    <row r="193" spans="1:252" s="73" customFormat="1">
      <c r="A193" s="400" t="s">
        <v>2928</v>
      </c>
      <c r="B193" s="72">
        <v>1</v>
      </c>
    </row>
    <row r="194" spans="1:252" s="73" customFormat="1">
      <c r="A194" s="400" t="s">
        <v>2929</v>
      </c>
      <c r="B194" s="72">
        <v>1.5</v>
      </c>
    </row>
    <row r="195" spans="1:252" s="73" customFormat="1">
      <c r="A195" s="400" t="s">
        <v>2930</v>
      </c>
      <c r="B195" s="72">
        <v>1</v>
      </c>
    </row>
    <row r="196" spans="1:252" s="73" customFormat="1">
      <c r="A196" s="400" t="s">
        <v>2931</v>
      </c>
      <c r="B196" s="72">
        <v>1</v>
      </c>
    </row>
    <row r="197" spans="1:252" s="73" customFormat="1" ht="15.75" thickBot="1">
      <c r="A197" s="605" t="s">
        <v>587</v>
      </c>
      <c r="B197" s="99">
        <f>SUM(B7:B196)</f>
        <v>367.5</v>
      </c>
    </row>
    <row r="198" spans="1:252" ht="26.25" customHeight="1">
      <c r="A198" s="1"/>
      <c r="B198" s="73"/>
    </row>
    <row r="199" spans="1:252" s="179" customFormat="1" ht="43.5" customHeight="1">
      <c r="A199" s="697" t="s">
        <v>3815</v>
      </c>
      <c r="IR199"/>
    </row>
    <row r="200" spans="1:252">
      <c r="A200" s="217" t="s">
        <v>593</v>
      </c>
      <c r="B200" s="196">
        <v>2360.1</v>
      </c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179"/>
      <c r="AS200" s="179"/>
      <c r="AT200" s="179"/>
      <c r="AU200" s="179"/>
      <c r="AV200" s="179"/>
      <c r="AW200" s="179"/>
      <c r="AX200" s="179"/>
      <c r="AY200" s="179"/>
      <c r="AZ200" s="179"/>
      <c r="BA200" s="179"/>
      <c r="BB200" s="179"/>
      <c r="BC200" s="179"/>
      <c r="BD200" s="179"/>
      <c r="BE200" s="179"/>
      <c r="BF200" s="179"/>
      <c r="BG200" s="179"/>
      <c r="BH200" s="179"/>
      <c r="BI200" s="179"/>
      <c r="BJ200" s="179"/>
      <c r="BK200" s="179"/>
      <c r="BL200" s="179"/>
      <c r="BM200" s="179"/>
      <c r="BN200" s="179"/>
      <c r="BO200" s="179"/>
      <c r="BP200" s="179"/>
      <c r="BQ200" s="179"/>
      <c r="BR200" s="179"/>
      <c r="BS200" s="179"/>
      <c r="BT200" s="179"/>
      <c r="BU200" s="179"/>
      <c r="BV200" s="179"/>
      <c r="BW200" s="179"/>
      <c r="BX200" s="179"/>
      <c r="BY200" s="179"/>
      <c r="BZ200" s="179"/>
      <c r="CA200" s="179"/>
      <c r="CB200" s="179"/>
      <c r="CC200" s="179"/>
      <c r="CD200" s="179"/>
      <c r="CE200" s="179"/>
      <c r="CF200" s="179"/>
      <c r="CG200" s="179"/>
      <c r="CH200" s="179"/>
      <c r="CI200" s="179"/>
      <c r="CJ200" s="179"/>
      <c r="CK200" s="179"/>
      <c r="CL200" s="179"/>
      <c r="CM200" s="179"/>
      <c r="CN200" s="179"/>
      <c r="CO200" s="179"/>
      <c r="CP200" s="179"/>
      <c r="CQ200" s="179"/>
      <c r="CR200" s="179"/>
      <c r="CS200" s="179"/>
      <c r="CT200" s="179"/>
      <c r="CU200" s="179"/>
      <c r="CV200" s="179"/>
      <c r="CW200" s="179"/>
      <c r="CX200" s="179"/>
      <c r="CY200" s="179"/>
      <c r="CZ200" s="179"/>
      <c r="DA200" s="179"/>
      <c r="DB200" s="179"/>
      <c r="DC200" s="179"/>
      <c r="DD200" s="179"/>
      <c r="DE200" s="179"/>
      <c r="DF200" s="179"/>
      <c r="DG200" s="179"/>
      <c r="DH200" s="179"/>
      <c r="DI200" s="179"/>
      <c r="DJ200" s="179"/>
      <c r="DK200" s="179"/>
      <c r="DL200" s="179"/>
      <c r="DM200" s="179"/>
      <c r="DN200" s="179"/>
      <c r="DO200" s="179"/>
      <c r="DP200" s="179"/>
      <c r="DQ200" s="179"/>
      <c r="DR200" s="179"/>
      <c r="DS200" s="179"/>
      <c r="DT200" s="179"/>
      <c r="DU200" s="179"/>
      <c r="DV200" s="179"/>
      <c r="DW200" s="179"/>
      <c r="DX200" s="179"/>
      <c r="DY200" s="179"/>
      <c r="DZ200" s="179"/>
      <c r="EA200" s="179"/>
      <c r="EB200" s="179"/>
      <c r="EC200" s="179"/>
      <c r="ED200" s="179"/>
      <c r="EE200" s="179"/>
      <c r="EF200" s="179"/>
      <c r="EG200" s="179"/>
      <c r="EH200" s="179"/>
      <c r="EI200" s="179"/>
      <c r="EJ200" s="179"/>
      <c r="EK200" s="179"/>
      <c r="EL200" s="179"/>
      <c r="EM200" s="179"/>
      <c r="EN200" s="179"/>
      <c r="EO200" s="179"/>
      <c r="EP200" s="179"/>
      <c r="EQ200" s="179"/>
      <c r="ER200" s="179"/>
      <c r="ES200" s="179"/>
      <c r="ET200" s="179"/>
      <c r="EU200" s="179"/>
      <c r="EV200" s="179"/>
      <c r="EW200" s="179"/>
      <c r="EX200" s="179"/>
      <c r="EY200" s="179"/>
      <c r="EZ200" s="179"/>
      <c r="FA200" s="179"/>
      <c r="FB200" s="179"/>
      <c r="FC200" s="179"/>
      <c r="FD200" s="179"/>
      <c r="FE200" s="179"/>
      <c r="FF200" s="179"/>
      <c r="FG200" s="179"/>
      <c r="FH200" s="179"/>
      <c r="FI200" s="179"/>
      <c r="FJ200" s="179"/>
      <c r="FK200" s="179"/>
      <c r="FL200" s="179"/>
      <c r="FM200" s="179"/>
      <c r="FN200" s="179"/>
      <c r="FO200" s="179"/>
      <c r="FP200" s="179"/>
      <c r="FQ200" s="179"/>
      <c r="FR200" s="179"/>
      <c r="FS200" s="179"/>
      <c r="FT200" s="179"/>
      <c r="FU200" s="179"/>
      <c r="FV200" s="179"/>
      <c r="FW200" s="179"/>
      <c r="FX200" s="179"/>
      <c r="FY200" s="179"/>
      <c r="FZ200" s="179"/>
      <c r="GA200" s="179"/>
      <c r="GB200" s="179"/>
      <c r="GC200" s="179"/>
      <c r="GD200" s="179"/>
      <c r="GE200" s="179"/>
      <c r="GF200" s="179"/>
      <c r="GG200" s="179"/>
      <c r="GH200" s="179"/>
      <c r="GI200" s="179"/>
      <c r="GJ200" s="179"/>
      <c r="GK200" s="179"/>
      <c r="GL200" s="179"/>
      <c r="GM200" s="179"/>
      <c r="GN200" s="179"/>
      <c r="GO200" s="179"/>
      <c r="GP200" s="179"/>
      <c r="GQ200" s="179"/>
      <c r="GR200" s="179"/>
      <c r="GS200" s="179"/>
      <c r="GT200" s="179"/>
      <c r="GU200" s="179"/>
      <c r="GV200" s="179"/>
      <c r="GW200" s="179"/>
      <c r="GX200" s="179"/>
      <c r="GY200" s="179"/>
      <c r="GZ200" s="179"/>
      <c r="HA200" s="179"/>
      <c r="HB200" s="179"/>
      <c r="HC200" s="179"/>
      <c r="HD200" s="179"/>
      <c r="HE200" s="179"/>
      <c r="HF200" s="179"/>
      <c r="HG200" s="179"/>
      <c r="HH200" s="179"/>
      <c r="HI200" s="179"/>
      <c r="HJ200" s="179"/>
      <c r="HK200" s="179"/>
      <c r="HL200" s="179"/>
      <c r="HM200" s="179"/>
      <c r="HN200" s="179"/>
      <c r="HO200" s="179"/>
      <c r="HP200" s="179"/>
      <c r="HQ200" s="179"/>
      <c r="HR200" s="179"/>
      <c r="HS200" s="179"/>
      <c r="HT200" s="179"/>
      <c r="HU200" s="179"/>
      <c r="HV200" s="179"/>
      <c r="HW200" s="179"/>
      <c r="HX200" s="179"/>
      <c r="HY200" s="179"/>
      <c r="HZ200" s="179"/>
      <c r="IA200" s="179"/>
      <c r="IB200" s="179"/>
      <c r="IC200" s="179"/>
      <c r="ID200" s="179"/>
      <c r="IE200" s="179"/>
      <c r="IF200" s="179"/>
      <c r="IG200" s="179"/>
      <c r="IH200" s="179"/>
      <c r="II200" s="179"/>
      <c r="IJ200" s="179"/>
      <c r="IK200" s="179"/>
      <c r="IL200" s="179"/>
      <c r="IM200" s="179"/>
      <c r="IN200" s="179"/>
      <c r="IO200" s="179"/>
      <c r="IP200" s="179"/>
      <c r="IQ200" s="179"/>
    </row>
    <row r="201" spans="1:252">
      <c r="A201" s="217" t="s">
        <v>594</v>
      </c>
      <c r="B201" s="196">
        <v>19.16</v>
      </c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79"/>
      <c r="AE201" s="179"/>
      <c r="AF201" s="179"/>
      <c r="AG201" s="179"/>
      <c r="AH201" s="179"/>
      <c r="AI201" s="179"/>
      <c r="AJ201" s="179"/>
      <c r="AK201" s="179"/>
      <c r="AL201" s="179"/>
      <c r="AM201" s="179"/>
      <c r="AN201" s="179"/>
      <c r="AO201" s="179"/>
      <c r="AP201" s="179"/>
      <c r="AQ201" s="179"/>
      <c r="AR201" s="179"/>
      <c r="AS201" s="179"/>
      <c r="AT201" s="179"/>
      <c r="AU201" s="179"/>
      <c r="AV201" s="179"/>
      <c r="AW201" s="179"/>
      <c r="AX201" s="179"/>
      <c r="AY201" s="179"/>
      <c r="AZ201" s="179"/>
      <c r="BA201" s="179"/>
      <c r="BB201" s="179"/>
      <c r="BC201" s="179"/>
      <c r="BD201" s="179"/>
      <c r="BE201" s="179"/>
      <c r="BF201" s="179"/>
      <c r="BG201" s="179"/>
      <c r="BH201" s="179"/>
      <c r="BI201" s="179"/>
      <c r="BJ201" s="179"/>
      <c r="BK201" s="179"/>
      <c r="BL201" s="179"/>
      <c r="BM201" s="179"/>
      <c r="BN201" s="179"/>
      <c r="BO201" s="179"/>
      <c r="BP201" s="179"/>
      <c r="BQ201" s="179"/>
      <c r="BR201" s="179"/>
      <c r="BS201" s="179"/>
      <c r="BT201" s="179"/>
      <c r="BU201" s="179"/>
      <c r="BV201" s="179"/>
      <c r="BW201" s="179"/>
      <c r="BX201" s="179"/>
      <c r="BY201" s="179"/>
      <c r="BZ201" s="179"/>
      <c r="CA201" s="179"/>
      <c r="CB201" s="179"/>
      <c r="CC201" s="179"/>
      <c r="CD201" s="179"/>
      <c r="CE201" s="179"/>
      <c r="CF201" s="179"/>
      <c r="CG201" s="179"/>
      <c r="CH201" s="179"/>
      <c r="CI201" s="179"/>
      <c r="CJ201" s="179"/>
      <c r="CK201" s="179"/>
      <c r="CL201" s="179"/>
      <c r="CM201" s="179"/>
      <c r="CN201" s="179"/>
      <c r="CO201" s="179"/>
      <c r="CP201" s="179"/>
      <c r="CQ201" s="179"/>
      <c r="CR201" s="179"/>
      <c r="CS201" s="179"/>
      <c r="CT201" s="179"/>
      <c r="CU201" s="179"/>
      <c r="CV201" s="179"/>
      <c r="CW201" s="179"/>
      <c r="CX201" s="179"/>
      <c r="CY201" s="179"/>
      <c r="CZ201" s="179"/>
      <c r="DA201" s="179"/>
      <c r="DB201" s="179"/>
      <c r="DC201" s="179"/>
      <c r="DD201" s="179"/>
      <c r="DE201" s="179"/>
      <c r="DF201" s="179"/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79"/>
      <c r="FQ201" s="179"/>
      <c r="FR201" s="179"/>
      <c r="FS201" s="179"/>
      <c r="FT201" s="179"/>
      <c r="FU201" s="179"/>
      <c r="FV201" s="179"/>
      <c r="FW201" s="179"/>
      <c r="FX201" s="179"/>
      <c r="FY201" s="179"/>
      <c r="FZ201" s="179"/>
      <c r="GA201" s="179"/>
      <c r="GB201" s="179"/>
      <c r="GC201" s="179"/>
      <c r="GD201" s="179"/>
      <c r="GE201" s="179"/>
      <c r="GF201" s="179"/>
      <c r="GG201" s="179"/>
      <c r="GH201" s="179"/>
      <c r="GI201" s="179"/>
      <c r="GJ201" s="179"/>
      <c r="GK201" s="179"/>
      <c r="GL201" s="179"/>
      <c r="GM201" s="179"/>
      <c r="GN201" s="179"/>
      <c r="GO201" s="179"/>
      <c r="GP201" s="179"/>
      <c r="GQ201" s="179"/>
      <c r="GR201" s="179"/>
      <c r="GS201" s="179"/>
      <c r="GT201" s="179"/>
      <c r="GU201" s="179"/>
      <c r="GV201" s="179"/>
      <c r="GW201" s="179"/>
      <c r="GX201" s="179"/>
      <c r="GY201" s="179"/>
      <c r="GZ201" s="179"/>
      <c r="HA201" s="179"/>
      <c r="HB201" s="179"/>
      <c r="HC201" s="179"/>
      <c r="HD201" s="179"/>
      <c r="HE201" s="179"/>
      <c r="HF201" s="179"/>
      <c r="HG201" s="179"/>
      <c r="HH201" s="179"/>
      <c r="HI201" s="179"/>
      <c r="HJ201" s="179"/>
      <c r="HK201" s="179"/>
      <c r="HL201" s="179"/>
      <c r="HM201" s="179"/>
      <c r="HN201" s="179"/>
      <c r="HO201" s="179"/>
      <c r="HP201" s="179"/>
      <c r="HQ201" s="179"/>
      <c r="HR201" s="179"/>
      <c r="HS201" s="179"/>
      <c r="HT201" s="179"/>
      <c r="HU201" s="179"/>
      <c r="HV201" s="179"/>
      <c r="HW201" s="179"/>
      <c r="HX201" s="179"/>
      <c r="HY201" s="179"/>
      <c r="HZ201" s="179"/>
      <c r="IA201" s="179"/>
      <c r="IB201" s="179"/>
      <c r="IC201" s="179"/>
      <c r="ID201" s="179"/>
      <c r="IE201" s="179"/>
      <c r="IF201" s="179"/>
      <c r="IG201" s="179"/>
      <c r="IH201" s="179"/>
      <c r="II201" s="179"/>
      <c r="IJ201" s="179"/>
      <c r="IK201" s="179"/>
      <c r="IL201" s="179"/>
      <c r="IM201" s="179"/>
      <c r="IN201" s="179"/>
      <c r="IO201" s="179"/>
      <c r="IP201" s="179"/>
      <c r="IQ201" s="179"/>
    </row>
    <row r="202" spans="1:252">
      <c r="A202" s="218" t="s">
        <v>711</v>
      </c>
      <c r="B202" s="193">
        <v>131721.49</v>
      </c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79"/>
      <c r="AQ202" s="179"/>
      <c r="AR202" s="179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  <c r="BK202" s="179"/>
      <c r="BL202" s="179"/>
      <c r="BM202" s="179"/>
      <c r="BN202" s="179"/>
      <c r="BO202" s="179"/>
      <c r="BP202" s="179"/>
      <c r="BQ202" s="179"/>
      <c r="BR202" s="179"/>
      <c r="BS202" s="179"/>
      <c r="BT202" s="179"/>
      <c r="BU202" s="179"/>
      <c r="BV202" s="179"/>
      <c r="BW202" s="179"/>
      <c r="BX202" s="179"/>
      <c r="BY202" s="179"/>
      <c r="BZ202" s="179"/>
      <c r="CA202" s="179"/>
      <c r="CB202" s="179"/>
      <c r="CC202" s="179"/>
      <c r="CD202" s="179"/>
      <c r="CE202" s="179"/>
      <c r="CF202" s="179"/>
      <c r="CG202" s="179"/>
      <c r="CH202" s="179"/>
      <c r="CI202" s="179"/>
      <c r="CJ202" s="179"/>
      <c r="CK202" s="179"/>
      <c r="CL202" s="179"/>
      <c r="CM202" s="179"/>
      <c r="CN202" s="179"/>
      <c r="CO202" s="179"/>
      <c r="CP202" s="179"/>
      <c r="CQ202" s="179"/>
      <c r="CR202" s="179"/>
      <c r="CS202" s="179"/>
      <c r="CT202" s="179"/>
      <c r="CU202" s="179"/>
      <c r="CV202" s="179"/>
      <c r="CW202" s="179"/>
      <c r="CX202" s="179"/>
      <c r="CY202" s="179"/>
      <c r="CZ202" s="179"/>
      <c r="DA202" s="179"/>
      <c r="DB202" s="179"/>
      <c r="DC202" s="179"/>
      <c r="DD202" s="179"/>
      <c r="DE202" s="179"/>
      <c r="DF202" s="179"/>
      <c r="DG202" s="179"/>
      <c r="DH202" s="179"/>
      <c r="DI202" s="179"/>
      <c r="DJ202" s="179"/>
      <c r="DK202" s="179"/>
      <c r="DL202" s="179"/>
      <c r="DM202" s="179"/>
      <c r="DN202" s="179"/>
      <c r="DO202" s="179"/>
      <c r="DP202" s="179"/>
      <c r="DQ202" s="179"/>
      <c r="DR202" s="179"/>
      <c r="DS202" s="179"/>
      <c r="DT202" s="179"/>
      <c r="DU202" s="179"/>
      <c r="DV202" s="179"/>
      <c r="DW202" s="179"/>
      <c r="DX202" s="179"/>
      <c r="DY202" s="179"/>
      <c r="DZ202" s="179"/>
      <c r="EA202" s="179"/>
      <c r="EB202" s="179"/>
      <c r="EC202" s="179"/>
      <c r="ED202" s="179"/>
      <c r="EE202" s="179"/>
      <c r="EF202" s="179"/>
      <c r="EG202" s="179"/>
      <c r="EH202" s="179"/>
      <c r="EI202" s="179"/>
      <c r="EJ202" s="179"/>
      <c r="EK202" s="179"/>
      <c r="EL202" s="179"/>
      <c r="EM202" s="179"/>
      <c r="EN202" s="179"/>
      <c r="EO202" s="179"/>
      <c r="EP202" s="179"/>
      <c r="EQ202" s="179"/>
      <c r="ER202" s="179"/>
      <c r="ES202" s="179"/>
      <c r="ET202" s="179"/>
      <c r="EU202" s="179"/>
      <c r="EV202" s="179"/>
      <c r="EW202" s="179"/>
      <c r="EX202" s="179"/>
      <c r="EY202" s="179"/>
      <c r="EZ202" s="179"/>
      <c r="FA202" s="179"/>
      <c r="FB202" s="179"/>
      <c r="FC202" s="179"/>
      <c r="FD202" s="179"/>
      <c r="FE202" s="179"/>
      <c r="FF202" s="179"/>
      <c r="FG202" s="179"/>
      <c r="FH202" s="179"/>
      <c r="FI202" s="179"/>
      <c r="FJ202" s="179"/>
      <c r="FK202" s="179"/>
      <c r="FL202" s="179"/>
      <c r="FM202" s="179"/>
      <c r="FN202" s="179"/>
      <c r="FO202" s="179"/>
      <c r="FP202" s="179"/>
      <c r="FQ202" s="179"/>
      <c r="FR202" s="179"/>
      <c r="FS202" s="179"/>
      <c r="FT202" s="179"/>
      <c r="FU202" s="179"/>
      <c r="FV202" s="179"/>
      <c r="FW202" s="179"/>
      <c r="FX202" s="179"/>
      <c r="FY202" s="179"/>
      <c r="FZ202" s="179"/>
      <c r="GA202" s="179"/>
      <c r="GB202" s="179"/>
      <c r="GC202" s="179"/>
      <c r="GD202" s="179"/>
      <c r="GE202" s="179"/>
      <c r="GF202" s="179"/>
      <c r="GG202" s="179"/>
      <c r="GH202" s="179"/>
      <c r="GI202" s="179"/>
      <c r="GJ202" s="179"/>
      <c r="GK202" s="179"/>
      <c r="GL202" s="179"/>
      <c r="GM202" s="179"/>
      <c r="GN202" s="179"/>
      <c r="GO202" s="179"/>
      <c r="GP202" s="179"/>
      <c r="GQ202" s="179"/>
      <c r="GR202" s="179"/>
      <c r="GS202" s="179"/>
      <c r="GT202" s="179"/>
      <c r="GU202" s="179"/>
      <c r="GV202" s="179"/>
      <c r="GW202" s="179"/>
      <c r="GX202" s="179"/>
      <c r="GY202" s="179"/>
      <c r="GZ202" s="179"/>
      <c r="HA202" s="179"/>
      <c r="HB202" s="179"/>
      <c r="HC202" s="179"/>
      <c r="HD202" s="179"/>
      <c r="HE202" s="179"/>
      <c r="HF202" s="179"/>
      <c r="HG202" s="179"/>
      <c r="HH202" s="179"/>
      <c r="HI202" s="179"/>
      <c r="HJ202" s="179"/>
      <c r="HK202" s="179"/>
      <c r="HL202" s="179"/>
      <c r="HM202" s="179"/>
      <c r="HN202" s="179"/>
      <c r="HO202" s="179"/>
      <c r="HP202" s="179"/>
      <c r="HQ202" s="179"/>
      <c r="HR202" s="179"/>
      <c r="HS202" s="179"/>
      <c r="HT202" s="179"/>
      <c r="HU202" s="179"/>
      <c r="HV202" s="179"/>
      <c r="HW202" s="179"/>
      <c r="HX202" s="179"/>
      <c r="HY202" s="179"/>
      <c r="HZ202" s="179"/>
      <c r="IA202" s="179"/>
      <c r="IB202" s="179"/>
      <c r="IC202" s="179"/>
      <c r="ID202" s="179"/>
      <c r="IE202" s="179"/>
      <c r="IF202" s="179"/>
      <c r="IG202" s="179"/>
      <c r="IH202" s="179"/>
      <c r="II202" s="179"/>
      <c r="IJ202" s="179"/>
      <c r="IK202" s="179"/>
      <c r="IL202" s="179"/>
      <c r="IM202" s="179"/>
      <c r="IN202" s="179"/>
      <c r="IO202" s="179"/>
      <c r="IP202" s="179"/>
      <c r="IQ202" s="179"/>
    </row>
    <row r="203" spans="1:252">
      <c r="A203" s="218" t="s">
        <v>1123</v>
      </c>
      <c r="B203" s="193">
        <v>520048.33</v>
      </c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179"/>
      <c r="AI203" s="179"/>
      <c r="AJ203" s="179"/>
      <c r="AK203" s="179"/>
      <c r="AL203" s="179"/>
      <c r="AM203" s="179"/>
      <c r="AN203" s="179"/>
      <c r="AO203" s="179"/>
      <c r="AP203" s="179"/>
      <c r="AQ203" s="179"/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79"/>
      <c r="BF203" s="179"/>
      <c r="BG203" s="179"/>
      <c r="BH203" s="179"/>
      <c r="BI203" s="179"/>
      <c r="BJ203" s="179"/>
      <c r="BK203" s="179"/>
      <c r="BL203" s="179"/>
      <c r="BM203" s="179"/>
      <c r="BN203" s="179"/>
      <c r="BO203" s="179"/>
      <c r="BP203" s="179"/>
      <c r="BQ203" s="179"/>
      <c r="BR203" s="179"/>
      <c r="BS203" s="179"/>
      <c r="BT203" s="179"/>
      <c r="BU203" s="179"/>
      <c r="BV203" s="179"/>
      <c r="BW203" s="179"/>
      <c r="BX203" s="179"/>
      <c r="BY203" s="179"/>
      <c r="BZ203" s="179"/>
      <c r="CA203" s="179"/>
      <c r="CB203" s="179"/>
      <c r="CC203" s="179"/>
      <c r="CD203" s="179"/>
      <c r="CE203" s="179"/>
      <c r="CF203" s="179"/>
      <c r="CG203" s="179"/>
      <c r="CH203" s="179"/>
      <c r="CI203" s="179"/>
      <c r="CJ203" s="179"/>
      <c r="CK203" s="179"/>
      <c r="CL203" s="179"/>
      <c r="CM203" s="179"/>
      <c r="CN203" s="179"/>
      <c r="CO203" s="179"/>
      <c r="CP203" s="179"/>
      <c r="CQ203" s="179"/>
      <c r="CR203" s="179"/>
      <c r="CS203" s="179"/>
      <c r="CT203" s="179"/>
      <c r="CU203" s="179"/>
      <c r="CV203" s="179"/>
      <c r="CW203" s="179"/>
      <c r="CX203" s="179"/>
      <c r="CY203" s="179"/>
      <c r="CZ203" s="179"/>
      <c r="DA203" s="179"/>
      <c r="DB203" s="179"/>
      <c r="DC203" s="179"/>
      <c r="DD203" s="179"/>
      <c r="DE203" s="179"/>
      <c r="DF203" s="179"/>
      <c r="DG203" s="179"/>
      <c r="DH203" s="179"/>
      <c r="DI203" s="179"/>
      <c r="DJ203" s="179"/>
      <c r="DK203" s="179"/>
      <c r="DL203" s="179"/>
      <c r="DM203" s="179"/>
      <c r="DN203" s="179"/>
      <c r="DO203" s="179"/>
      <c r="DP203" s="179"/>
      <c r="DQ203" s="179"/>
      <c r="DR203" s="179"/>
      <c r="DS203" s="179"/>
      <c r="DT203" s="179"/>
      <c r="DU203" s="179"/>
      <c r="DV203" s="179"/>
      <c r="DW203" s="179"/>
      <c r="DX203" s="179"/>
      <c r="DY203" s="179"/>
      <c r="DZ203" s="179"/>
      <c r="EA203" s="179"/>
      <c r="EB203" s="179"/>
      <c r="EC203" s="179"/>
      <c r="ED203" s="179"/>
      <c r="EE203" s="179"/>
      <c r="EF203" s="179"/>
      <c r="EG203" s="179"/>
      <c r="EH203" s="179"/>
      <c r="EI203" s="179"/>
      <c r="EJ203" s="179"/>
      <c r="EK203" s="179"/>
      <c r="EL203" s="179"/>
      <c r="EM203" s="179"/>
      <c r="EN203" s="179"/>
      <c r="EO203" s="179"/>
      <c r="EP203" s="179"/>
      <c r="EQ203" s="179"/>
      <c r="ER203" s="179"/>
      <c r="ES203" s="179"/>
      <c r="ET203" s="179"/>
      <c r="EU203" s="179"/>
      <c r="EV203" s="179"/>
      <c r="EW203" s="179"/>
      <c r="EX203" s="179"/>
      <c r="EY203" s="179"/>
      <c r="EZ203" s="179"/>
      <c r="FA203" s="179"/>
      <c r="FB203" s="179"/>
      <c r="FC203" s="179"/>
      <c r="FD203" s="179"/>
      <c r="FE203" s="179"/>
      <c r="FF203" s="179"/>
      <c r="FG203" s="179"/>
      <c r="FH203" s="179"/>
      <c r="FI203" s="179"/>
      <c r="FJ203" s="179"/>
      <c r="FK203" s="179"/>
      <c r="FL203" s="179"/>
      <c r="FM203" s="179"/>
      <c r="FN203" s="179"/>
      <c r="FO203" s="179"/>
      <c r="FP203" s="179"/>
      <c r="FQ203" s="179"/>
      <c r="FR203" s="179"/>
      <c r="FS203" s="179"/>
      <c r="FT203" s="179"/>
      <c r="FU203" s="179"/>
      <c r="FV203" s="179"/>
      <c r="FW203" s="179"/>
      <c r="FX203" s="179"/>
      <c r="FY203" s="179"/>
      <c r="FZ203" s="179"/>
      <c r="GA203" s="179"/>
      <c r="GB203" s="179"/>
      <c r="GC203" s="179"/>
      <c r="GD203" s="179"/>
      <c r="GE203" s="179"/>
      <c r="GF203" s="179"/>
      <c r="GG203" s="179"/>
      <c r="GH203" s="179"/>
      <c r="GI203" s="179"/>
      <c r="GJ203" s="179"/>
      <c r="GK203" s="179"/>
      <c r="GL203" s="179"/>
      <c r="GM203" s="179"/>
      <c r="GN203" s="179"/>
      <c r="GO203" s="179"/>
      <c r="GP203" s="179"/>
      <c r="GQ203" s="179"/>
      <c r="GR203" s="179"/>
      <c r="GS203" s="179"/>
      <c r="GT203" s="179"/>
      <c r="GU203" s="179"/>
      <c r="GV203" s="179"/>
      <c r="GW203" s="179"/>
      <c r="GX203" s="179"/>
      <c r="GY203" s="179"/>
      <c r="GZ203" s="179"/>
      <c r="HA203" s="179"/>
      <c r="HB203" s="179"/>
      <c r="HC203" s="179"/>
      <c r="HD203" s="179"/>
      <c r="HE203" s="179"/>
      <c r="HF203" s="179"/>
      <c r="HG203" s="179"/>
      <c r="HH203" s="179"/>
      <c r="HI203" s="179"/>
      <c r="HJ203" s="179"/>
      <c r="HK203" s="179"/>
      <c r="HL203" s="179"/>
      <c r="HM203" s="179"/>
      <c r="HN203" s="179"/>
      <c r="HO203" s="179"/>
      <c r="HP203" s="179"/>
      <c r="HQ203" s="179"/>
      <c r="HR203" s="179"/>
      <c r="HS203" s="179"/>
      <c r="HT203" s="179"/>
      <c r="HU203" s="179"/>
      <c r="HV203" s="179"/>
      <c r="HW203" s="179"/>
      <c r="HX203" s="179"/>
      <c r="HY203" s="179"/>
      <c r="HZ203" s="179"/>
      <c r="IA203" s="179"/>
      <c r="IB203" s="179"/>
      <c r="IC203" s="179"/>
      <c r="ID203" s="179"/>
      <c r="IE203" s="179"/>
      <c r="IF203" s="179"/>
      <c r="IG203" s="179"/>
      <c r="IH203" s="179"/>
      <c r="II203" s="179"/>
      <c r="IJ203" s="179"/>
      <c r="IK203" s="179"/>
      <c r="IL203" s="179"/>
      <c r="IM203" s="179"/>
      <c r="IN203" s="179"/>
      <c r="IO203" s="179"/>
      <c r="IP203" s="179"/>
      <c r="IQ203" s="179"/>
    </row>
    <row r="204" spans="1:252">
      <c r="A204" s="218" t="s">
        <v>1602</v>
      </c>
      <c r="B204" s="193">
        <f>6372+17569.56</f>
        <v>23941.56</v>
      </c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  <c r="BD204" s="179"/>
      <c r="BE204" s="179"/>
      <c r="BF204" s="179"/>
      <c r="BG204" s="179"/>
      <c r="BH204" s="179"/>
      <c r="BI204" s="179"/>
      <c r="BJ204" s="179"/>
      <c r="BK204" s="179"/>
      <c r="BL204" s="179"/>
      <c r="BM204" s="179"/>
      <c r="BN204" s="179"/>
      <c r="BO204" s="179"/>
      <c r="BP204" s="179"/>
      <c r="BQ204" s="179"/>
      <c r="BR204" s="179"/>
      <c r="BS204" s="179"/>
      <c r="BT204" s="179"/>
      <c r="BU204" s="179"/>
      <c r="BV204" s="179"/>
      <c r="BW204" s="179"/>
      <c r="BX204" s="179"/>
      <c r="BY204" s="179"/>
      <c r="BZ204" s="179"/>
      <c r="CA204" s="179"/>
      <c r="CB204" s="179"/>
      <c r="CC204" s="179"/>
      <c r="CD204" s="179"/>
      <c r="CE204" s="179"/>
      <c r="CF204" s="179"/>
      <c r="CG204" s="179"/>
      <c r="CH204" s="179"/>
      <c r="CI204" s="179"/>
      <c r="CJ204" s="179"/>
      <c r="CK204" s="179"/>
      <c r="CL204" s="179"/>
      <c r="CM204" s="179"/>
      <c r="CN204" s="179"/>
      <c r="CO204" s="179"/>
      <c r="CP204" s="179"/>
      <c r="CQ204" s="179"/>
      <c r="CR204" s="179"/>
      <c r="CS204" s="179"/>
      <c r="CT204" s="179"/>
      <c r="CU204" s="179"/>
      <c r="CV204" s="179"/>
      <c r="CW204" s="179"/>
      <c r="CX204" s="179"/>
      <c r="CY204" s="179"/>
      <c r="CZ204" s="179"/>
      <c r="DA204" s="179"/>
      <c r="DB204" s="179"/>
      <c r="DC204" s="179"/>
      <c r="DD204" s="179"/>
      <c r="DE204" s="179"/>
      <c r="DF204" s="179"/>
      <c r="DG204" s="179"/>
      <c r="DH204" s="179"/>
      <c r="DI204" s="179"/>
      <c r="DJ204" s="179"/>
      <c r="DK204" s="179"/>
      <c r="DL204" s="179"/>
      <c r="DM204" s="179"/>
      <c r="DN204" s="179"/>
      <c r="DO204" s="179"/>
      <c r="DP204" s="179"/>
      <c r="DQ204" s="179"/>
      <c r="DR204" s="179"/>
      <c r="DS204" s="179"/>
      <c r="DT204" s="179"/>
      <c r="DU204" s="179"/>
      <c r="DV204" s="179"/>
      <c r="DW204" s="179"/>
      <c r="DX204" s="179"/>
      <c r="DY204" s="179"/>
      <c r="DZ204" s="179"/>
      <c r="EA204" s="179"/>
      <c r="EB204" s="179"/>
      <c r="EC204" s="179"/>
      <c r="ED204" s="179"/>
      <c r="EE204" s="179"/>
      <c r="EF204" s="179"/>
      <c r="EG204" s="179"/>
      <c r="EH204" s="179"/>
      <c r="EI204" s="179"/>
      <c r="EJ204" s="179"/>
      <c r="EK204" s="179"/>
      <c r="EL204" s="179"/>
      <c r="EM204" s="179"/>
      <c r="EN204" s="179"/>
      <c r="EO204" s="179"/>
      <c r="EP204" s="179"/>
      <c r="EQ204" s="179"/>
      <c r="ER204" s="179"/>
      <c r="ES204" s="179"/>
      <c r="ET204" s="179"/>
      <c r="EU204" s="179"/>
      <c r="EV204" s="179"/>
      <c r="EW204" s="179"/>
      <c r="EX204" s="179"/>
      <c r="EY204" s="179"/>
      <c r="EZ204" s="179"/>
      <c r="FA204" s="179"/>
      <c r="FB204" s="179"/>
      <c r="FC204" s="179"/>
      <c r="FD204" s="179"/>
      <c r="FE204" s="179"/>
      <c r="FF204" s="179"/>
      <c r="FG204" s="179"/>
      <c r="FH204" s="179"/>
      <c r="FI204" s="179"/>
      <c r="FJ204" s="179"/>
      <c r="FK204" s="179"/>
      <c r="FL204" s="179"/>
      <c r="FM204" s="179"/>
      <c r="FN204" s="179"/>
      <c r="FO204" s="179"/>
      <c r="FP204" s="179"/>
      <c r="FQ204" s="179"/>
      <c r="FR204" s="179"/>
      <c r="FS204" s="179"/>
      <c r="FT204" s="179"/>
      <c r="FU204" s="179"/>
      <c r="FV204" s="179"/>
      <c r="FW204" s="179"/>
      <c r="FX204" s="179"/>
      <c r="FY204" s="179"/>
      <c r="FZ204" s="179"/>
      <c r="GA204" s="179"/>
      <c r="GB204" s="179"/>
      <c r="GC204" s="179"/>
      <c r="GD204" s="179"/>
      <c r="GE204" s="179"/>
      <c r="GF204" s="179"/>
      <c r="GG204" s="179"/>
      <c r="GH204" s="179"/>
      <c r="GI204" s="179"/>
      <c r="GJ204" s="179"/>
      <c r="GK204" s="179"/>
      <c r="GL204" s="179"/>
      <c r="GM204" s="179"/>
      <c r="GN204" s="179"/>
      <c r="GO204" s="179"/>
      <c r="GP204" s="179"/>
      <c r="GQ204" s="179"/>
      <c r="GR204" s="179"/>
      <c r="GS204" s="179"/>
      <c r="GT204" s="179"/>
      <c r="GU204" s="179"/>
      <c r="GV204" s="179"/>
      <c r="GW204" s="179"/>
      <c r="GX204" s="179"/>
      <c r="GY204" s="179"/>
      <c r="GZ204" s="179"/>
      <c r="HA204" s="179"/>
      <c r="HB204" s="179"/>
      <c r="HC204" s="179"/>
      <c r="HD204" s="179"/>
      <c r="HE204" s="179"/>
      <c r="HF204" s="179"/>
      <c r="HG204" s="179"/>
      <c r="HH204" s="179"/>
      <c r="HI204" s="179"/>
      <c r="HJ204" s="179"/>
      <c r="HK204" s="179"/>
      <c r="HL204" s="179"/>
      <c r="HM204" s="179"/>
      <c r="HN204" s="179"/>
      <c r="HO204" s="179"/>
      <c r="HP204" s="179"/>
      <c r="HQ204" s="179"/>
      <c r="HR204" s="179"/>
      <c r="HS204" s="179"/>
      <c r="HT204" s="179"/>
      <c r="HU204" s="179"/>
      <c r="HV204" s="179"/>
      <c r="HW204" s="179"/>
      <c r="HX204" s="179"/>
      <c r="HY204" s="179"/>
      <c r="HZ204" s="179"/>
      <c r="IA204" s="179"/>
      <c r="IB204" s="179"/>
      <c r="IC204" s="179"/>
      <c r="ID204" s="179"/>
      <c r="IE204" s="179"/>
      <c r="IF204" s="179"/>
      <c r="IG204" s="179"/>
      <c r="IH204" s="179"/>
      <c r="II204" s="179"/>
      <c r="IJ204" s="179"/>
      <c r="IK204" s="179"/>
      <c r="IL204" s="179"/>
      <c r="IM204" s="179"/>
      <c r="IN204" s="179"/>
      <c r="IO204" s="179"/>
      <c r="IP204" s="179"/>
      <c r="IQ204" s="179"/>
    </row>
    <row r="205" spans="1:252">
      <c r="A205" s="218" t="s">
        <v>1598</v>
      </c>
      <c r="B205" s="193">
        <f>B202+B203+B204-B206</f>
        <v>476071.12000000011</v>
      </c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79"/>
      <c r="AT205" s="179"/>
      <c r="AU205" s="179"/>
      <c r="AV205" s="179"/>
      <c r="AW205" s="179"/>
      <c r="AX205" s="179"/>
      <c r="AY205" s="179"/>
      <c r="AZ205" s="179"/>
      <c r="BA205" s="179"/>
      <c r="BB205" s="179"/>
      <c r="BC205" s="179"/>
      <c r="BD205" s="179"/>
      <c r="BE205" s="179"/>
      <c r="BF205" s="179"/>
      <c r="BG205" s="179"/>
      <c r="BH205" s="179"/>
      <c r="BI205" s="179"/>
      <c r="BJ205" s="179"/>
      <c r="BK205" s="179"/>
      <c r="BL205" s="179"/>
      <c r="BM205" s="179"/>
      <c r="BN205" s="179"/>
      <c r="BO205" s="179"/>
      <c r="BP205" s="179"/>
      <c r="BQ205" s="179"/>
      <c r="BR205" s="179"/>
      <c r="BS205" s="179"/>
      <c r="BT205" s="179"/>
      <c r="BU205" s="179"/>
      <c r="BV205" s="179"/>
      <c r="BW205" s="179"/>
      <c r="BX205" s="179"/>
      <c r="BY205" s="179"/>
      <c r="BZ205" s="179"/>
      <c r="CA205" s="179"/>
      <c r="CB205" s="179"/>
      <c r="CC205" s="179"/>
      <c r="CD205" s="179"/>
      <c r="CE205" s="179"/>
      <c r="CF205" s="179"/>
      <c r="CG205" s="179"/>
      <c r="CH205" s="179"/>
      <c r="CI205" s="179"/>
      <c r="CJ205" s="179"/>
      <c r="CK205" s="179"/>
      <c r="CL205" s="179"/>
      <c r="CM205" s="179"/>
      <c r="CN205" s="179"/>
      <c r="CO205" s="179"/>
      <c r="CP205" s="179"/>
      <c r="CQ205" s="179"/>
      <c r="CR205" s="179"/>
      <c r="CS205" s="179"/>
      <c r="CT205" s="179"/>
      <c r="CU205" s="179"/>
      <c r="CV205" s="179"/>
      <c r="CW205" s="179"/>
      <c r="CX205" s="179"/>
      <c r="CY205" s="179"/>
      <c r="CZ205" s="179"/>
      <c r="DA205" s="179"/>
      <c r="DB205" s="179"/>
      <c r="DC205" s="179"/>
      <c r="DD205" s="179"/>
      <c r="DE205" s="179"/>
      <c r="DF205" s="179"/>
      <c r="DG205" s="179"/>
      <c r="DH205" s="179"/>
      <c r="DI205" s="179"/>
      <c r="DJ205" s="179"/>
      <c r="DK205" s="179"/>
      <c r="DL205" s="179"/>
      <c r="DM205" s="179"/>
      <c r="DN205" s="179"/>
      <c r="DO205" s="179"/>
      <c r="DP205" s="179"/>
      <c r="DQ205" s="179"/>
      <c r="DR205" s="179"/>
      <c r="DS205" s="179"/>
      <c r="DT205" s="179"/>
      <c r="DU205" s="179"/>
      <c r="DV205" s="179"/>
      <c r="DW205" s="179"/>
      <c r="DX205" s="179"/>
      <c r="DY205" s="179"/>
      <c r="DZ205" s="179"/>
      <c r="EA205" s="179"/>
      <c r="EB205" s="179"/>
      <c r="EC205" s="179"/>
      <c r="ED205" s="179"/>
      <c r="EE205" s="179"/>
      <c r="EF205" s="179"/>
      <c r="EG205" s="179"/>
      <c r="EH205" s="179"/>
      <c r="EI205" s="179"/>
      <c r="EJ205" s="179"/>
      <c r="EK205" s="179"/>
      <c r="EL205" s="179"/>
      <c r="EM205" s="179"/>
      <c r="EN205" s="179"/>
      <c r="EO205" s="179"/>
      <c r="EP205" s="179"/>
      <c r="EQ205" s="179"/>
      <c r="ER205" s="179"/>
      <c r="ES205" s="179"/>
      <c r="ET205" s="179"/>
      <c r="EU205" s="179"/>
      <c r="EV205" s="179"/>
      <c r="EW205" s="179"/>
      <c r="EX205" s="179"/>
      <c r="EY205" s="179"/>
      <c r="EZ205" s="179"/>
      <c r="FA205" s="179"/>
      <c r="FB205" s="179"/>
      <c r="FC205" s="179"/>
      <c r="FD205" s="179"/>
      <c r="FE205" s="179"/>
      <c r="FF205" s="179"/>
      <c r="FG205" s="179"/>
      <c r="FH205" s="179"/>
      <c r="FI205" s="179"/>
      <c r="FJ205" s="179"/>
      <c r="FK205" s="179"/>
      <c r="FL205" s="179"/>
      <c r="FM205" s="179"/>
      <c r="FN205" s="179"/>
      <c r="FO205" s="179"/>
      <c r="FP205" s="179"/>
      <c r="FQ205" s="179"/>
      <c r="FR205" s="179"/>
      <c r="FS205" s="179"/>
      <c r="FT205" s="179"/>
      <c r="FU205" s="179"/>
      <c r="FV205" s="179"/>
      <c r="FW205" s="179"/>
      <c r="FX205" s="179"/>
      <c r="FY205" s="179"/>
      <c r="FZ205" s="179"/>
      <c r="GA205" s="179"/>
      <c r="GB205" s="179"/>
      <c r="GC205" s="179"/>
      <c r="GD205" s="179"/>
      <c r="GE205" s="179"/>
      <c r="GF205" s="179"/>
      <c r="GG205" s="179"/>
      <c r="GH205" s="179"/>
      <c r="GI205" s="179"/>
      <c r="GJ205" s="179"/>
      <c r="GK205" s="179"/>
      <c r="GL205" s="179"/>
      <c r="GM205" s="179"/>
      <c r="GN205" s="179"/>
      <c r="GO205" s="179"/>
      <c r="GP205" s="179"/>
      <c r="GQ205" s="179"/>
      <c r="GR205" s="179"/>
      <c r="GS205" s="179"/>
      <c r="GT205" s="179"/>
      <c r="GU205" s="179"/>
      <c r="GV205" s="179"/>
      <c r="GW205" s="179"/>
      <c r="GX205" s="179"/>
      <c r="GY205" s="179"/>
      <c r="GZ205" s="179"/>
      <c r="HA205" s="179"/>
      <c r="HB205" s="179"/>
      <c r="HC205" s="179"/>
      <c r="HD205" s="179"/>
      <c r="HE205" s="179"/>
      <c r="HF205" s="179"/>
      <c r="HG205" s="179"/>
      <c r="HH205" s="179"/>
      <c r="HI205" s="179"/>
      <c r="HJ205" s="179"/>
      <c r="HK205" s="179"/>
      <c r="HL205" s="179"/>
      <c r="HM205" s="179"/>
      <c r="HN205" s="179"/>
      <c r="HO205" s="179"/>
      <c r="HP205" s="179"/>
      <c r="HQ205" s="179"/>
      <c r="HR205" s="179"/>
      <c r="HS205" s="179"/>
      <c r="HT205" s="179"/>
      <c r="HU205" s="179"/>
      <c r="HV205" s="179"/>
      <c r="HW205" s="179"/>
      <c r="HX205" s="179"/>
      <c r="HY205" s="179"/>
      <c r="HZ205" s="179"/>
      <c r="IA205" s="179"/>
      <c r="IB205" s="179"/>
      <c r="IC205" s="179"/>
      <c r="ID205" s="179"/>
      <c r="IE205" s="179"/>
      <c r="IF205" s="179"/>
      <c r="IG205" s="179"/>
      <c r="IH205" s="179"/>
      <c r="II205" s="179"/>
      <c r="IJ205" s="179"/>
      <c r="IK205" s="179"/>
      <c r="IL205" s="179"/>
      <c r="IM205" s="179"/>
      <c r="IN205" s="179"/>
      <c r="IO205" s="179"/>
      <c r="IP205" s="179"/>
      <c r="IQ205" s="179"/>
    </row>
    <row r="206" spans="1:252">
      <c r="A206" s="218" t="s">
        <v>1597</v>
      </c>
      <c r="B206" s="193">
        <v>199640.26</v>
      </c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  <c r="BD206" s="179"/>
      <c r="BE206" s="179"/>
      <c r="BF206" s="179"/>
      <c r="BG206" s="179"/>
      <c r="BH206" s="179"/>
      <c r="BI206" s="179"/>
      <c r="BJ206" s="179"/>
      <c r="BK206" s="179"/>
      <c r="BL206" s="179"/>
      <c r="BM206" s="179"/>
      <c r="BN206" s="179"/>
      <c r="BO206" s="179"/>
      <c r="BP206" s="179"/>
      <c r="BQ206" s="179"/>
      <c r="BR206" s="179"/>
      <c r="BS206" s="179"/>
      <c r="BT206" s="179"/>
      <c r="BU206" s="179"/>
      <c r="BV206" s="179"/>
      <c r="BW206" s="179"/>
      <c r="BX206" s="179"/>
      <c r="BY206" s="179"/>
      <c r="BZ206" s="179"/>
      <c r="CA206" s="179"/>
      <c r="CB206" s="179"/>
      <c r="CC206" s="179"/>
      <c r="CD206" s="179"/>
      <c r="CE206" s="179"/>
      <c r="CF206" s="179"/>
      <c r="CG206" s="179"/>
      <c r="CH206" s="179"/>
      <c r="CI206" s="179"/>
      <c r="CJ206" s="179"/>
      <c r="CK206" s="179"/>
      <c r="CL206" s="179"/>
      <c r="CM206" s="179"/>
      <c r="CN206" s="179"/>
      <c r="CO206" s="179"/>
      <c r="CP206" s="179"/>
      <c r="CQ206" s="179"/>
      <c r="CR206" s="179"/>
      <c r="CS206" s="179"/>
      <c r="CT206" s="179"/>
      <c r="CU206" s="179"/>
      <c r="CV206" s="179"/>
      <c r="CW206" s="179"/>
      <c r="CX206" s="179"/>
      <c r="CY206" s="179"/>
      <c r="CZ206" s="179"/>
      <c r="DA206" s="179"/>
      <c r="DB206" s="179"/>
      <c r="DC206" s="179"/>
      <c r="DD206" s="179"/>
      <c r="DE206" s="179"/>
      <c r="DF206" s="179"/>
      <c r="DG206" s="179"/>
      <c r="DH206" s="179"/>
      <c r="DI206" s="179"/>
      <c r="DJ206" s="179"/>
      <c r="DK206" s="179"/>
      <c r="DL206" s="179"/>
      <c r="DM206" s="179"/>
      <c r="DN206" s="179"/>
      <c r="DO206" s="179"/>
      <c r="DP206" s="179"/>
      <c r="DQ206" s="179"/>
      <c r="DR206" s="179"/>
      <c r="DS206" s="179"/>
      <c r="DT206" s="179"/>
      <c r="DU206" s="179"/>
      <c r="DV206" s="179"/>
      <c r="DW206" s="179"/>
      <c r="DX206" s="179"/>
      <c r="DY206" s="179"/>
      <c r="DZ206" s="179"/>
      <c r="EA206" s="179"/>
      <c r="EB206" s="179"/>
      <c r="EC206" s="179"/>
      <c r="ED206" s="179"/>
      <c r="EE206" s="179"/>
      <c r="EF206" s="179"/>
      <c r="EG206" s="179"/>
      <c r="EH206" s="179"/>
      <c r="EI206" s="179"/>
      <c r="EJ206" s="179"/>
      <c r="EK206" s="179"/>
      <c r="EL206" s="179"/>
      <c r="EM206" s="179"/>
      <c r="EN206" s="179"/>
      <c r="EO206" s="179"/>
      <c r="EP206" s="179"/>
      <c r="EQ206" s="179"/>
      <c r="ER206" s="179"/>
      <c r="ES206" s="179"/>
      <c r="ET206" s="179"/>
      <c r="EU206" s="179"/>
      <c r="EV206" s="179"/>
      <c r="EW206" s="179"/>
      <c r="EX206" s="179"/>
      <c r="EY206" s="179"/>
      <c r="EZ206" s="179"/>
      <c r="FA206" s="179"/>
      <c r="FB206" s="179"/>
      <c r="FC206" s="179"/>
      <c r="FD206" s="179"/>
      <c r="FE206" s="179"/>
      <c r="FF206" s="179"/>
      <c r="FG206" s="179"/>
      <c r="FH206" s="179"/>
      <c r="FI206" s="179"/>
      <c r="FJ206" s="179"/>
      <c r="FK206" s="179"/>
      <c r="FL206" s="179"/>
      <c r="FM206" s="179"/>
      <c r="FN206" s="179"/>
      <c r="FO206" s="179"/>
      <c r="FP206" s="179"/>
      <c r="FQ206" s="179"/>
      <c r="FR206" s="179"/>
      <c r="FS206" s="179"/>
      <c r="FT206" s="179"/>
      <c r="FU206" s="179"/>
      <c r="FV206" s="179"/>
      <c r="FW206" s="179"/>
      <c r="FX206" s="179"/>
      <c r="FY206" s="179"/>
      <c r="FZ206" s="179"/>
      <c r="GA206" s="179"/>
      <c r="GB206" s="179"/>
      <c r="GC206" s="179"/>
      <c r="GD206" s="179"/>
      <c r="GE206" s="179"/>
      <c r="GF206" s="179"/>
      <c r="GG206" s="179"/>
      <c r="GH206" s="179"/>
      <c r="GI206" s="179"/>
      <c r="GJ206" s="179"/>
      <c r="GK206" s="179"/>
      <c r="GL206" s="179"/>
      <c r="GM206" s="179"/>
      <c r="GN206" s="179"/>
      <c r="GO206" s="179"/>
      <c r="GP206" s="179"/>
      <c r="GQ206" s="179"/>
      <c r="GR206" s="179"/>
      <c r="GS206" s="179"/>
      <c r="GT206" s="179"/>
      <c r="GU206" s="179"/>
      <c r="GV206" s="179"/>
      <c r="GW206" s="179"/>
      <c r="GX206" s="179"/>
      <c r="GY206" s="179"/>
      <c r="GZ206" s="179"/>
      <c r="HA206" s="179"/>
      <c r="HB206" s="179"/>
      <c r="HC206" s="179"/>
      <c r="HD206" s="179"/>
      <c r="HE206" s="179"/>
      <c r="HF206" s="179"/>
      <c r="HG206" s="179"/>
      <c r="HH206" s="179"/>
      <c r="HI206" s="179"/>
      <c r="HJ206" s="179"/>
      <c r="HK206" s="179"/>
      <c r="HL206" s="179"/>
      <c r="HM206" s="179"/>
      <c r="HN206" s="179"/>
      <c r="HO206" s="179"/>
      <c r="HP206" s="179"/>
      <c r="HQ206" s="179"/>
      <c r="HR206" s="179"/>
      <c r="HS206" s="179"/>
      <c r="HT206" s="179"/>
      <c r="HU206" s="179"/>
      <c r="HV206" s="179"/>
      <c r="HW206" s="179"/>
      <c r="HX206" s="179"/>
      <c r="HY206" s="179"/>
      <c r="HZ206" s="179"/>
      <c r="IA206" s="179"/>
      <c r="IB206" s="179"/>
      <c r="IC206" s="179"/>
      <c r="ID206" s="179"/>
      <c r="IE206" s="179"/>
      <c r="IF206" s="179"/>
      <c r="IG206" s="179"/>
      <c r="IH206" s="179"/>
      <c r="II206" s="179"/>
      <c r="IJ206" s="179"/>
      <c r="IK206" s="179"/>
      <c r="IL206" s="179"/>
      <c r="IM206" s="179"/>
      <c r="IN206" s="179"/>
      <c r="IO206" s="179"/>
      <c r="IP206" s="179"/>
      <c r="IQ206" s="179"/>
    </row>
    <row r="207" spans="1:252" ht="29.25" customHeight="1">
      <c r="A207" s="216" t="s">
        <v>2025</v>
      </c>
      <c r="B207" s="196">
        <f>B205</f>
        <v>476071.12000000011</v>
      </c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79"/>
      <c r="AT207" s="179"/>
      <c r="AU207" s="179"/>
      <c r="AV207" s="179"/>
      <c r="AW207" s="179"/>
      <c r="AX207" s="179"/>
      <c r="AY207" s="179"/>
      <c r="AZ207" s="179"/>
      <c r="BA207" s="179"/>
      <c r="BB207" s="179"/>
      <c r="BC207" s="179"/>
      <c r="BD207" s="179"/>
      <c r="BE207" s="179"/>
      <c r="BF207" s="179"/>
      <c r="BG207" s="179"/>
      <c r="BH207" s="179"/>
      <c r="BI207" s="179"/>
      <c r="BJ207" s="179"/>
      <c r="BK207" s="179"/>
      <c r="BL207" s="179"/>
      <c r="BM207" s="179"/>
      <c r="BN207" s="179"/>
      <c r="BO207" s="179"/>
      <c r="BP207" s="179"/>
      <c r="BQ207" s="179"/>
      <c r="BR207" s="179"/>
      <c r="BS207" s="179"/>
      <c r="BT207" s="179"/>
      <c r="BU207" s="179"/>
      <c r="BV207" s="179"/>
      <c r="BW207" s="179"/>
      <c r="BX207" s="179"/>
      <c r="BY207" s="179"/>
      <c r="BZ207" s="179"/>
      <c r="CA207" s="179"/>
      <c r="CB207" s="179"/>
      <c r="CC207" s="179"/>
      <c r="CD207" s="179"/>
      <c r="CE207" s="179"/>
      <c r="CF207" s="179"/>
      <c r="CG207" s="179"/>
      <c r="CH207" s="179"/>
      <c r="CI207" s="179"/>
      <c r="CJ207" s="179"/>
      <c r="CK207" s="179"/>
      <c r="CL207" s="179"/>
      <c r="CM207" s="179"/>
      <c r="CN207" s="179"/>
      <c r="CO207" s="179"/>
      <c r="CP207" s="179"/>
      <c r="CQ207" s="179"/>
      <c r="CR207" s="179"/>
      <c r="CS207" s="179"/>
      <c r="CT207" s="179"/>
      <c r="CU207" s="179"/>
      <c r="CV207" s="179"/>
      <c r="CW207" s="179"/>
      <c r="CX207" s="179"/>
      <c r="CY207" s="179"/>
      <c r="CZ207" s="179"/>
      <c r="DA207" s="179"/>
      <c r="DB207" s="179"/>
      <c r="DC207" s="179"/>
      <c r="DD207" s="179"/>
      <c r="DE207" s="179"/>
      <c r="DF207" s="179"/>
      <c r="DG207" s="179"/>
      <c r="DH207" s="179"/>
      <c r="DI207" s="179"/>
      <c r="DJ207" s="179"/>
      <c r="DK207" s="179"/>
      <c r="DL207" s="179"/>
      <c r="DM207" s="179"/>
      <c r="DN207" s="179"/>
      <c r="DO207" s="179"/>
      <c r="DP207" s="179"/>
      <c r="DQ207" s="179"/>
      <c r="DR207" s="179"/>
      <c r="DS207" s="179"/>
      <c r="DT207" s="179"/>
      <c r="DU207" s="179"/>
      <c r="DV207" s="179"/>
      <c r="DW207" s="179"/>
      <c r="DX207" s="179"/>
      <c r="DY207" s="179"/>
      <c r="DZ207" s="179"/>
      <c r="EA207" s="179"/>
      <c r="EB207" s="179"/>
      <c r="EC207" s="179"/>
      <c r="ED207" s="179"/>
      <c r="EE207" s="179"/>
      <c r="EF207" s="179"/>
      <c r="EG207" s="179"/>
      <c r="EH207" s="179"/>
      <c r="EI207" s="179"/>
      <c r="EJ207" s="179"/>
      <c r="EK207" s="179"/>
      <c r="EL207" s="179"/>
      <c r="EM207" s="179"/>
      <c r="EN207" s="179"/>
      <c r="EO207" s="179"/>
      <c r="EP207" s="179"/>
      <c r="EQ207" s="179"/>
      <c r="ER207" s="179"/>
      <c r="ES207" s="179"/>
      <c r="ET207" s="179"/>
      <c r="EU207" s="179"/>
      <c r="EV207" s="179"/>
      <c r="EW207" s="179"/>
      <c r="EX207" s="179"/>
      <c r="EY207" s="179"/>
      <c r="EZ207" s="179"/>
      <c r="FA207" s="179"/>
      <c r="FB207" s="179"/>
      <c r="FC207" s="179"/>
      <c r="FD207" s="179"/>
      <c r="FE207" s="179"/>
      <c r="FF207" s="179"/>
      <c r="FG207" s="179"/>
      <c r="FH207" s="179"/>
      <c r="FI207" s="179"/>
      <c r="FJ207" s="179"/>
      <c r="FK207" s="179"/>
      <c r="FL207" s="179"/>
      <c r="FM207" s="179"/>
      <c r="FN207" s="179"/>
      <c r="FO207" s="179"/>
      <c r="FP207" s="179"/>
      <c r="FQ207" s="179"/>
      <c r="FR207" s="179"/>
      <c r="FS207" s="179"/>
      <c r="FT207" s="179"/>
      <c r="FU207" s="179"/>
      <c r="FV207" s="179"/>
      <c r="FW207" s="179"/>
      <c r="FX207" s="179"/>
      <c r="FY207" s="179"/>
      <c r="FZ207" s="179"/>
      <c r="GA207" s="179"/>
      <c r="GB207" s="179"/>
      <c r="GC207" s="179"/>
      <c r="GD207" s="179"/>
      <c r="GE207" s="179"/>
      <c r="GF207" s="179"/>
      <c r="GG207" s="179"/>
      <c r="GH207" s="179"/>
      <c r="GI207" s="179"/>
      <c r="GJ207" s="179"/>
      <c r="GK207" s="179"/>
      <c r="GL207" s="179"/>
      <c r="GM207" s="179"/>
      <c r="GN207" s="179"/>
      <c r="GO207" s="179"/>
      <c r="GP207" s="179"/>
      <c r="GQ207" s="179"/>
      <c r="GR207" s="179"/>
      <c r="GS207" s="179"/>
      <c r="GT207" s="179"/>
      <c r="GU207" s="179"/>
      <c r="GV207" s="179"/>
      <c r="GW207" s="179"/>
      <c r="GX207" s="179"/>
      <c r="GY207" s="179"/>
      <c r="GZ207" s="179"/>
      <c r="HA207" s="179"/>
      <c r="HB207" s="179"/>
      <c r="HC207" s="179"/>
      <c r="HD207" s="179"/>
      <c r="HE207" s="179"/>
      <c r="HF207" s="179"/>
      <c r="HG207" s="179"/>
      <c r="HH207" s="179"/>
      <c r="HI207" s="179"/>
      <c r="HJ207" s="179"/>
      <c r="HK207" s="179"/>
      <c r="HL207" s="179"/>
      <c r="HM207" s="179"/>
      <c r="HN207" s="179"/>
      <c r="HO207" s="179"/>
      <c r="HP207" s="179"/>
      <c r="HQ207" s="179"/>
      <c r="HR207" s="179"/>
      <c r="HS207" s="179"/>
      <c r="HT207" s="179"/>
      <c r="HU207" s="179"/>
      <c r="HV207" s="179"/>
      <c r="HW207" s="179"/>
      <c r="HX207" s="179"/>
      <c r="HY207" s="179"/>
      <c r="HZ207" s="179"/>
      <c r="IA207" s="179"/>
      <c r="IB207" s="179"/>
      <c r="IC207" s="179"/>
      <c r="ID207" s="179"/>
      <c r="IE207" s="179"/>
      <c r="IF207" s="179"/>
      <c r="IG207" s="179"/>
      <c r="IH207" s="179"/>
      <c r="II207" s="179"/>
      <c r="IJ207" s="179"/>
      <c r="IK207" s="179"/>
      <c r="IL207" s="179"/>
      <c r="IM207" s="179"/>
      <c r="IN207" s="179"/>
      <c r="IO207" s="179"/>
      <c r="IP207" s="179"/>
      <c r="IQ207" s="179"/>
    </row>
    <row r="208" spans="1:252">
      <c r="A208" s="179"/>
      <c r="B208" s="193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79"/>
      <c r="AT208" s="179"/>
      <c r="AU208" s="179"/>
      <c r="AV208" s="179"/>
      <c r="AW208" s="179"/>
      <c r="AX208" s="179"/>
      <c r="AY208" s="179"/>
      <c r="AZ208" s="179"/>
      <c r="BA208" s="179"/>
      <c r="BB208" s="179"/>
      <c r="BC208" s="179"/>
      <c r="BD208" s="179"/>
      <c r="BE208" s="179"/>
      <c r="BF208" s="179"/>
      <c r="BG208" s="179"/>
      <c r="BH208" s="179"/>
      <c r="BI208" s="179"/>
      <c r="BJ208" s="179"/>
      <c r="BK208" s="179"/>
      <c r="BL208" s="179"/>
      <c r="BM208" s="179"/>
      <c r="BN208" s="179"/>
      <c r="BO208" s="179"/>
      <c r="BP208" s="179"/>
      <c r="BQ208" s="179"/>
      <c r="BR208" s="179"/>
      <c r="BS208" s="179"/>
      <c r="BT208" s="179"/>
      <c r="BU208" s="179"/>
      <c r="BV208" s="179"/>
      <c r="BW208" s="179"/>
      <c r="BX208" s="179"/>
      <c r="BY208" s="179"/>
      <c r="BZ208" s="179"/>
      <c r="CA208" s="179"/>
      <c r="CB208" s="179"/>
      <c r="CC208" s="179"/>
      <c r="CD208" s="179"/>
      <c r="CE208" s="179"/>
      <c r="CF208" s="179"/>
      <c r="CG208" s="179"/>
      <c r="CH208" s="179"/>
      <c r="CI208" s="179"/>
      <c r="CJ208" s="179"/>
      <c r="CK208" s="179"/>
      <c r="CL208" s="179"/>
      <c r="CM208" s="179"/>
      <c r="CN208" s="179"/>
      <c r="CO208" s="179"/>
      <c r="CP208" s="179"/>
      <c r="CQ208" s="179"/>
      <c r="CR208" s="179"/>
      <c r="CS208" s="179"/>
      <c r="CT208" s="179"/>
      <c r="CU208" s="179"/>
      <c r="CV208" s="179"/>
      <c r="CW208" s="179"/>
      <c r="CX208" s="179"/>
      <c r="CY208" s="179"/>
      <c r="CZ208" s="179"/>
      <c r="DA208" s="179"/>
      <c r="DB208" s="179"/>
      <c r="DC208" s="179"/>
      <c r="DD208" s="179"/>
      <c r="DE208" s="179"/>
      <c r="DF208" s="179"/>
      <c r="DG208" s="179"/>
      <c r="DH208" s="179"/>
      <c r="DI208" s="179"/>
      <c r="DJ208" s="179"/>
      <c r="DK208" s="179"/>
      <c r="DL208" s="179"/>
      <c r="DM208" s="179"/>
      <c r="DN208" s="179"/>
      <c r="DO208" s="179"/>
      <c r="DP208" s="179"/>
      <c r="DQ208" s="179"/>
      <c r="DR208" s="179"/>
      <c r="DS208" s="179"/>
      <c r="DT208" s="179"/>
      <c r="DU208" s="179"/>
      <c r="DV208" s="179"/>
      <c r="DW208" s="179"/>
      <c r="DX208" s="179"/>
      <c r="DY208" s="179"/>
      <c r="DZ208" s="179"/>
      <c r="EA208" s="179"/>
      <c r="EB208" s="179"/>
      <c r="EC208" s="179"/>
      <c r="ED208" s="179"/>
      <c r="EE208" s="179"/>
      <c r="EF208" s="179"/>
      <c r="EG208" s="179"/>
      <c r="EH208" s="179"/>
      <c r="EI208" s="179"/>
      <c r="EJ208" s="179"/>
      <c r="EK208" s="179"/>
      <c r="EL208" s="179"/>
      <c r="EM208" s="179"/>
      <c r="EN208" s="179"/>
      <c r="EO208" s="179"/>
      <c r="EP208" s="179"/>
      <c r="EQ208" s="179"/>
      <c r="ER208" s="179"/>
      <c r="ES208" s="179"/>
      <c r="ET208" s="179"/>
      <c r="EU208" s="179"/>
      <c r="EV208" s="179"/>
      <c r="EW208" s="179"/>
      <c r="EX208" s="179"/>
      <c r="EY208" s="179"/>
      <c r="EZ208" s="179"/>
      <c r="FA208" s="179"/>
      <c r="FB208" s="179"/>
      <c r="FC208" s="179"/>
      <c r="FD208" s="179"/>
      <c r="FE208" s="179"/>
      <c r="FF208" s="179"/>
      <c r="FG208" s="179"/>
      <c r="FH208" s="179"/>
      <c r="FI208" s="179"/>
      <c r="FJ208" s="179"/>
      <c r="FK208" s="179"/>
      <c r="FL208" s="179"/>
      <c r="FM208" s="179"/>
      <c r="FN208" s="179"/>
      <c r="FO208" s="179"/>
      <c r="FP208" s="179"/>
      <c r="FQ208" s="179"/>
      <c r="FR208" s="179"/>
      <c r="FS208" s="179"/>
      <c r="FT208" s="179"/>
      <c r="FU208" s="179"/>
      <c r="FV208" s="179"/>
      <c r="FW208" s="179"/>
      <c r="FX208" s="179"/>
      <c r="FY208" s="179"/>
      <c r="FZ208" s="179"/>
      <c r="GA208" s="179"/>
      <c r="GB208" s="179"/>
      <c r="GC208" s="179"/>
      <c r="GD208" s="179"/>
      <c r="GE208" s="179"/>
      <c r="GF208" s="179"/>
      <c r="GG208" s="179"/>
      <c r="GH208" s="179"/>
      <c r="GI208" s="179"/>
      <c r="GJ208" s="179"/>
      <c r="GK208" s="179"/>
      <c r="GL208" s="179"/>
      <c r="GM208" s="179"/>
      <c r="GN208" s="179"/>
      <c r="GO208" s="179"/>
      <c r="GP208" s="179"/>
      <c r="GQ208" s="179"/>
      <c r="GR208" s="179"/>
      <c r="GS208" s="179"/>
      <c r="GT208" s="179"/>
      <c r="GU208" s="179"/>
      <c r="GV208" s="179"/>
      <c r="GW208" s="179"/>
      <c r="GX208" s="179"/>
      <c r="GY208" s="179"/>
      <c r="GZ208" s="179"/>
      <c r="HA208" s="179"/>
      <c r="HB208" s="179"/>
      <c r="HC208" s="179"/>
      <c r="HD208" s="179"/>
      <c r="HE208" s="179"/>
      <c r="HF208" s="179"/>
      <c r="HG208" s="179"/>
      <c r="HH208" s="179"/>
      <c r="HI208" s="179"/>
      <c r="HJ208" s="179"/>
      <c r="HK208" s="179"/>
      <c r="HL208" s="179"/>
      <c r="HM208" s="179"/>
      <c r="HN208" s="179"/>
      <c r="HO208" s="179"/>
      <c r="HP208" s="179"/>
      <c r="HQ208" s="179"/>
      <c r="HR208" s="179"/>
      <c r="HS208" s="179"/>
      <c r="HT208" s="179"/>
      <c r="HU208" s="179"/>
      <c r="HV208" s="179"/>
      <c r="HW208" s="179"/>
      <c r="HX208" s="179"/>
      <c r="HY208" s="179"/>
      <c r="HZ208" s="179"/>
      <c r="IA208" s="179"/>
      <c r="IB208" s="179"/>
      <c r="IC208" s="179"/>
      <c r="ID208" s="179"/>
      <c r="IE208" s="179"/>
      <c r="IF208" s="179"/>
      <c r="IG208" s="179"/>
      <c r="IH208" s="179"/>
      <c r="II208" s="179"/>
      <c r="IJ208" s="179"/>
      <c r="IK208" s="179"/>
      <c r="IL208" s="179"/>
      <c r="IM208" s="179"/>
      <c r="IN208" s="179"/>
      <c r="IO208" s="179"/>
      <c r="IP208" s="179"/>
      <c r="IQ208" s="179"/>
    </row>
    <row r="209" spans="1:251">
      <c r="A209" s="324" t="s">
        <v>1600</v>
      </c>
      <c r="B209" s="198">
        <f>B211+B213+B215+B216+B218+B220+B219+B212+B214+B221</f>
        <v>543305.16307631426</v>
      </c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79"/>
      <c r="AT209" s="179"/>
      <c r="AU209" s="179"/>
      <c r="AV209" s="179"/>
      <c r="AW209" s="179"/>
      <c r="AX209" s="179"/>
      <c r="AY209" s="179"/>
      <c r="AZ209" s="179"/>
      <c r="BA209" s="179"/>
      <c r="BB209" s="179"/>
      <c r="BC209" s="179"/>
      <c r="BD209" s="179"/>
      <c r="BE209" s="179"/>
      <c r="BF209" s="179"/>
      <c r="BG209" s="179"/>
      <c r="BH209" s="179"/>
      <c r="BI209" s="179"/>
      <c r="BJ209" s="179"/>
      <c r="BK209" s="179"/>
      <c r="BL209" s="179"/>
      <c r="BM209" s="179"/>
      <c r="BN209" s="179"/>
      <c r="BO209" s="179"/>
      <c r="BP209" s="179"/>
      <c r="BQ209" s="179"/>
      <c r="BR209" s="179"/>
      <c r="BS209" s="179"/>
      <c r="BT209" s="179"/>
      <c r="BU209" s="179"/>
      <c r="BV209" s="179"/>
      <c r="BW209" s="179"/>
      <c r="BX209" s="179"/>
      <c r="BY209" s="179"/>
      <c r="BZ209" s="179"/>
      <c r="CA209" s="179"/>
      <c r="CB209" s="179"/>
      <c r="CC209" s="179"/>
      <c r="CD209" s="179"/>
      <c r="CE209" s="179"/>
      <c r="CF209" s="179"/>
      <c r="CG209" s="179"/>
      <c r="CH209" s="179"/>
      <c r="CI209" s="179"/>
      <c r="CJ209" s="179"/>
      <c r="CK209" s="179"/>
      <c r="CL209" s="179"/>
      <c r="CM209" s="179"/>
      <c r="CN209" s="179"/>
      <c r="CO209" s="179"/>
      <c r="CP209" s="179"/>
      <c r="CQ209" s="179"/>
      <c r="CR209" s="179"/>
      <c r="CS209" s="179"/>
      <c r="CT209" s="179"/>
      <c r="CU209" s="179"/>
      <c r="CV209" s="179"/>
      <c r="CW209" s="179"/>
      <c r="CX209" s="179"/>
      <c r="CY209" s="179"/>
      <c r="CZ209" s="179"/>
      <c r="DA209" s="179"/>
      <c r="DB209" s="179"/>
      <c r="DC209" s="179"/>
      <c r="DD209" s="179"/>
      <c r="DE209" s="179"/>
      <c r="DF209" s="179"/>
      <c r="DG209" s="179"/>
      <c r="DH209" s="179"/>
      <c r="DI209" s="179"/>
      <c r="DJ209" s="179"/>
      <c r="DK209" s="179"/>
      <c r="DL209" s="179"/>
      <c r="DM209" s="179"/>
      <c r="DN209" s="179"/>
      <c r="DO209" s="179"/>
      <c r="DP209" s="179"/>
      <c r="DQ209" s="179"/>
      <c r="DR209" s="179"/>
      <c r="DS209" s="179"/>
      <c r="DT209" s="179"/>
      <c r="DU209" s="179"/>
      <c r="DV209" s="179"/>
      <c r="DW209" s="179"/>
      <c r="DX209" s="179"/>
      <c r="DY209" s="179"/>
      <c r="DZ209" s="179"/>
      <c r="EA209" s="179"/>
      <c r="EB209" s="179"/>
      <c r="EC209" s="179"/>
      <c r="ED209" s="179"/>
      <c r="EE209" s="179"/>
      <c r="EF209" s="179"/>
      <c r="EG209" s="179"/>
      <c r="EH209" s="179"/>
      <c r="EI209" s="179"/>
      <c r="EJ209" s="179"/>
      <c r="EK209" s="179"/>
      <c r="EL209" s="179"/>
      <c r="EM209" s="179"/>
      <c r="EN209" s="179"/>
      <c r="EO209" s="179"/>
      <c r="EP209" s="179"/>
      <c r="EQ209" s="179"/>
      <c r="ER209" s="179"/>
      <c r="ES209" s="179"/>
      <c r="ET209" s="179"/>
      <c r="EU209" s="179"/>
      <c r="EV209" s="179"/>
      <c r="EW209" s="179"/>
      <c r="EX209" s="179"/>
      <c r="EY209" s="179"/>
      <c r="EZ209" s="179"/>
      <c r="FA209" s="179"/>
      <c r="FB209" s="179"/>
      <c r="FC209" s="179"/>
      <c r="FD209" s="179"/>
      <c r="FE209" s="179"/>
      <c r="FF209" s="179"/>
      <c r="FG209" s="179"/>
      <c r="FH209" s="179"/>
      <c r="FI209" s="179"/>
      <c r="FJ209" s="179"/>
      <c r="FK209" s="179"/>
      <c r="FL209" s="179"/>
      <c r="FM209" s="179"/>
      <c r="FN209" s="179"/>
      <c r="FO209" s="179"/>
      <c r="FP209" s="179"/>
      <c r="FQ209" s="179"/>
      <c r="FR209" s="179"/>
      <c r="FS209" s="179"/>
      <c r="FT209" s="179"/>
      <c r="FU209" s="179"/>
      <c r="FV209" s="179"/>
      <c r="FW209" s="179"/>
      <c r="FX209" s="179"/>
      <c r="FY209" s="179"/>
      <c r="FZ209" s="179"/>
      <c r="GA209" s="179"/>
      <c r="GB209" s="179"/>
      <c r="GC209" s="179"/>
      <c r="GD209" s="179"/>
      <c r="GE209" s="179"/>
      <c r="GF209" s="179"/>
      <c r="GG209" s="179"/>
      <c r="GH209" s="179"/>
      <c r="GI209" s="179"/>
      <c r="GJ209" s="179"/>
      <c r="GK209" s="179"/>
      <c r="GL209" s="179"/>
      <c r="GM209" s="179"/>
      <c r="GN209" s="179"/>
      <c r="GO209" s="179"/>
      <c r="GP209" s="179"/>
      <c r="GQ209" s="179"/>
      <c r="GR209" s="179"/>
      <c r="GS209" s="179"/>
      <c r="GT209" s="179"/>
      <c r="GU209" s="179"/>
      <c r="GV209" s="179"/>
      <c r="GW209" s="179"/>
      <c r="GX209" s="179"/>
      <c r="GY209" s="179"/>
      <c r="GZ209" s="179"/>
      <c r="HA209" s="179"/>
      <c r="HB209" s="179"/>
      <c r="HC209" s="179"/>
      <c r="HD209" s="179"/>
      <c r="HE209" s="179"/>
      <c r="HF209" s="179"/>
      <c r="HG209" s="179"/>
      <c r="HH209" s="179"/>
      <c r="HI209" s="179"/>
      <c r="HJ209" s="179"/>
      <c r="HK209" s="179"/>
      <c r="HL209" s="179"/>
      <c r="HM209" s="179"/>
      <c r="HN209" s="179"/>
      <c r="HO209" s="179"/>
      <c r="HP209" s="179"/>
      <c r="HQ209" s="179"/>
      <c r="HR209" s="179"/>
      <c r="HS209" s="179"/>
      <c r="HT209" s="179"/>
      <c r="HU209" s="179"/>
      <c r="HV209" s="179"/>
      <c r="HW209" s="179"/>
      <c r="HX209" s="179"/>
      <c r="HY209" s="179"/>
      <c r="HZ209" s="179"/>
      <c r="IA209" s="179"/>
      <c r="IB209" s="179"/>
      <c r="IC209" s="179"/>
      <c r="ID209" s="179"/>
      <c r="IE209" s="179"/>
      <c r="IF209" s="179"/>
      <c r="IG209" s="179"/>
      <c r="IH209" s="179"/>
      <c r="II209" s="179"/>
      <c r="IJ209" s="179"/>
      <c r="IK209" s="179"/>
      <c r="IL209" s="179"/>
      <c r="IM209" s="179"/>
      <c r="IN209" s="179"/>
      <c r="IO209" s="179"/>
      <c r="IP209" s="179"/>
      <c r="IQ209" s="179"/>
    </row>
    <row r="210" spans="1:251">
      <c r="A210" s="325" t="s">
        <v>599</v>
      </c>
      <c r="B210" s="193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79"/>
      <c r="AT210" s="179"/>
      <c r="AU210" s="179"/>
      <c r="AV210" s="179"/>
      <c r="AW210" s="179"/>
      <c r="AX210" s="179"/>
      <c r="AY210" s="179"/>
      <c r="AZ210" s="179"/>
      <c r="BA210" s="179"/>
      <c r="BB210" s="179"/>
      <c r="BC210" s="179"/>
      <c r="BD210" s="179"/>
      <c r="BE210" s="179"/>
      <c r="BF210" s="179"/>
      <c r="BG210" s="179"/>
      <c r="BH210" s="179"/>
      <c r="BI210" s="179"/>
      <c r="BJ210" s="179"/>
      <c r="BK210" s="179"/>
      <c r="BL210" s="179"/>
      <c r="BM210" s="179"/>
      <c r="BN210" s="179"/>
      <c r="BO210" s="179"/>
      <c r="BP210" s="179"/>
      <c r="BQ210" s="179"/>
      <c r="BR210" s="179"/>
      <c r="BS210" s="179"/>
      <c r="BT210" s="179"/>
      <c r="BU210" s="179"/>
      <c r="BV210" s="179"/>
      <c r="BW210" s="179"/>
      <c r="BX210" s="179"/>
      <c r="BY210" s="179"/>
      <c r="BZ210" s="179"/>
      <c r="CA210" s="179"/>
      <c r="CB210" s="179"/>
      <c r="CC210" s="179"/>
      <c r="CD210" s="179"/>
      <c r="CE210" s="179"/>
      <c r="CF210" s="179"/>
      <c r="CG210" s="179"/>
      <c r="CH210" s="179"/>
      <c r="CI210" s="179"/>
      <c r="CJ210" s="179"/>
      <c r="CK210" s="179"/>
      <c r="CL210" s="179"/>
      <c r="CM210" s="179"/>
      <c r="CN210" s="179"/>
      <c r="CO210" s="179"/>
      <c r="CP210" s="179"/>
      <c r="CQ210" s="179"/>
      <c r="CR210" s="179"/>
      <c r="CS210" s="179"/>
      <c r="CT210" s="179"/>
      <c r="CU210" s="179"/>
      <c r="CV210" s="179"/>
      <c r="CW210" s="179"/>
      <c r="CX210" s="179"/>
      <c r="CY210" s="179"/>
      <c r="CZ210" s="179"/>
      <c r="DA210" s="179"/>
      <c r="DB210" s="179"/>
      <c r="DC210" s="179"/>
      <c r="DD210" s="179"/>
      <c r="DE210" s="179"/>
      <c r="DF210" s="179"/>
      <c r="DG210" s="179"/>
      <c r="DH210" s="179"/>
      <c r="DI210" s="179"/>
      <c r="DJ210" s="179"/>
      <c r="DK210" s="179"/>
      <c r="DL210" s="179"/>
      <c r="DM210" s="179"/>
      <c r="DN210" s="179"/>
      <c r="DO210" s="179"/>
      <c r="DP210" s="179"/>
      <c r="DQ210" s="179"/>
      <c r="DR210" s="179"/>
      <c r="DS210" s="179"/>
      <c r="DT210" s="179"/>
      <c r="DU210" s="179"/>
      <c r="DV210" s="179"/>
      <c r="DW210" s="179"/>
      <c r="DX210" s="179"/>
      <c r="DY210" s="179"/>
      <c r="DZ210" s="179"/>
      <c r="EA210" s="179"/>
      <c r="EB210" s="179"/>
      <c r="EC210" s="179"/>
      <c r="ED210" s="179"/>
      <c r="EE210" s="179"/>
      <c r="EF210" s="179"/>
      <c r="EG210" s="179"/>
      <c r="EH210" s="179"/>
      <c r="EI210" s="179"/>
      <c r="EJ210" s="179"/>
      <c r="EK210" s="179"/>
      <c r="EL210" s="179"/>
      <c r="EM210" s="179"/>
      <c r="EN210" s="179"/>
      <c r="EO210" s="179"/>
      <c r="EP210" s="179"/>
      <c r="EQ210" s="179"/>
      <c r="ER210" s="179"/>
      <c r="ES210" s="179"/>
      <c r="ET210" s="179"/>
      <c r="EU210" s="179"/>
      <c r="EV210" s="179"/>
      <c r="EW210" s="179"/>
      <c r="EX210" s="179"/>
      <c r="EY210" s="179"/>
      <c r="EZ210" s="179"/>
      <c r="FA210" s="179"/>
      <c r="FB210" s="179"/>
      <c r="FC210" s="179"/>
      <c r="FD210" s="179"/>
      <c r="FE210" s="179"/>
      <c r="FF210" s="179"/>
      <c r="FG210" s="179"/>
      <c r="FH210" s="179"/>
      <c r="FI210" s="179"/>
      <c r="FJ210" s="179"/>
      <c r="FK210" s="179"/>
      <c r="FL210" s="179"/>
      <c r="FM210" s="179"/>
      <c r="FN210" s="179"/>
      <c r="FO210" s="179"/>
      <c r="FP210" s="179"/>
      <c r="FQ210" s="179"/>
      <c r="FR210" s="179"/>
      <c r="FS210" s="179"/>
      <c r="FT210" s="179"/>
      <c r="FU210" s="179"/>
      <c r="FV210" s="179"/>
      <c r="FW210" s="179"/>
      <c r="FX210" s="179"/>
      <c r="FY210" s="179"/>
      <c r="FZ210" s="179"/>
      <c r="GA210" s="179"/>
      <c r="GB210" s="179"/>
      <c r="GC210" s="179"/>
      <c r="GD210" s="179"/>
      <c r="GE210" s="179"/>
      <c r="GF210" s="179"/>
      <c r="GG210" s="179"/>
      <c r="GH210" s="179"/>
      <c r="GI210" s="179"/>
      <c r="GJ210" s="179"/>
      <c r="GK210" s="179"/>
      <c r="GL210" s="179"/>
      <c r="GM210" s="179"/>
      <c r="GN210" s="179"/>
      <c r="GO210" s="179"/>
      <c r="GP210" s="179"/>
      <c r="GQ210" s="179"/>
      <c r="GR210" s="179"/>
      <c r="GS210" s="179"/>
      <c r="GT210" s="179"/>
      <c r="GU210" s="179"/>
      <c r="GV210" s="179"/>
      <c r="GW210" s="179"/>
      <c r="GX210" s="179"/>
      <c r="GY210" s="179"/>
      <c r="GZ210" s="179"/>
      <c r="HA210" s="179"/>
      <c r="HB210" s="179"/>
      <c r="HC210" s="179"/>
      <c r="HD210" s="179"/>
      <c r="HE210" s="179"/>
      <c r="HF210" s="179"/>
      <c r="HG210" s="179"/>
      <c r="HH210" s="179"/>
      <c r="HI210" s="179"/>
      <c r="HJ210" s="179"/>
      <c r="HK210" s="179"/>
      <c r="HL210" s="179"/>
      <c r="HM210" s="179"/>
      <c r="HN210" s="179"/>
      <c r="HO210" s="179"/>
      <c r="HP210" s="179"/>
      <c r="HQ210" s="179"/>
      <c r="HR210" s="179"/>
      <c r="HS210" s="179"/>
      <c r="HT210" s="179"/>
      <c r="HU210" s="179"/>
      <c r="HV210" s="179"/>
      <c r="HW210" s="179"/>
      <c r="HX210" s="179"/>
      <c r="HY210" s="179"/>
      <c r="HZ210" s="179"/>
      <c r="IA210" s="179"/>
      <c r="IB210" s="179"/>
      <c r="IC210" s="179"/>
      <c r="ID210" s="179"/>
      <c r="IE210" s="179"/>
      <c r="IF210" s="179"/>
      <c r="IG210" s="179"/>
      <c r="IH210" s="179"/>
      <c r="II210" s="179"/>
      <c r="IJ210" s="179"/>
      <c r="IK210" s="179"/>
      <c r="IL210" s="179"/>
      <c r="IM210" s="179"/>
      <c r="IN210" s="179"/>
      <c r="IO210" s="179"/>
      <c r="IP210" s="179"/>
      <c r="IQ210" s="179"/>
    </row>
    <row r="211" spans="1:251" s="466" customFormat="1">
      <c r="A211" s="325" t="s">
        <v>521</v>
      </c>
      <c r="B211" s="194">
        <f>959300/45797.5*B200*1.5</f>
        <v>74153.958076314215</v>
      </c>
      <c r="C211" s="465"/>
      <c r="D211" s="465"/>
      <c r="E211" s="465"/>
      <c r="F211" s="465"/>
      <c r="G211" s="465"/>
      <c r="H211" s="465"/>
      <c r="I211" s="465"/>
      <c r="J211" s="465"/>
      <c r="K211" s="465"/>
      <c r="L211" s="465"/>
      <c r="M211" s="465"/>
      <c r="N211" s="465"/>
      <c r="O211" s="465"/>
      <c r="P211" s="465"/>
      <c r="Q211" s="465"/>
      <c r="R211" s="465"/>
      <c r="S211" s="465"/>
      <c r="T211" s="465"/>
      <c r="U211" s="465"/>
      <c r="V211" s="465"/>
      <c r="W211" s="465"/>
      <c r="X211" s="465"/>
      <c r="Y211" s="465"/>
      <c r="Z211" s="465"/>
      <c r="AA211" s="465"/>
      <c r="AB211" s="465"/>
      <c r="AC211" s="465"/>
      <c r="AD211" s="465"/>
      <c r="AE211" s="465"/>
      <c r="AF211" s="465"/>
      <c r="AG211" s="465"/>
      <c r="AH211" s="465"/>
      <c r="AI211" s="465"/>
      <c r="AJ211" s="465"/>
      <c r="AK211" s="465"/>
      <c r="AL211" s="465"/>
      <c r="AM211" s="465"/>
      <c r="AN211" s="465"/>
      <c r="AO211" s="465"/>
      <c r="AP211" s="465"/>
      <c r="AQ211" s="465"/>
      <c r="AR211" s="465"/>
      <c r="AS211" s="465"/>
      <c r="AT211" s="465"/>
      <c r="AU211" s="465"/>
      <c r="AV211" s="465"/>
      <c r="AW211" s="465"/>
      <c r="AX211" s="465"/>
      <c r="AY211" s="465"/>
      <c r="AZ211" s="465"/>
      <c r="BA211" s="465"/>
      <c r="BB211" s="465"/>
      <c r="BC211" s="465"/>
      <c r="BD211" s="465"/>
      <c r="BE211" s="465"/>
      <c r="BF211" s="465"/>
      <c r="BG211" s="465"/>
      <c r="BH211" s="465"/>
      <c r="BI211" s="465"/>
      <c r="BJ211" s="465"/>
      <c r="BK211" s="465"/>
      <c r="BL211" s="465"/>
      <c r="BM211" s="465"/>
      <c r="BN211" s="465"/>
      <c r="BO211" s="465"/>
      <c r="BP211" s="465"/>
      <c r="BQ211" s="465"/>
      <c r="BR211" s="465"/>
      <c r="BS211" s="465"/>
      <c r="BT211" s="465"/>
      <c r="BU211" s="465"/>
      <c r="BV211" s="465"/>
      <c r="BW211" s="465"/>
      <c r="BX211" s="465"/>
      <c r="BY211" s="465"/>
      <c r="BZ211" s="465"/>
      <c r="CA211" s="465"/>
      <c r="CB211" s="465"/>
      <c r="CC211" s="465"/>
      <c r="CD211" s="465"/>
      <c r="CE211" s="465"/>
      <c r="CF211" s="465"/>
      <c r="CG211" s="465"/>
      <c r="CH211" s="465"/>
      <c r="CI211" s="465"/>
      <c r="CJ211" s="465"/>
      <c r="CK211" s="465"/>
      <c r="CL211" s="465"/>
      <c r="CM211" s="465"/>
      <c r="CN211" s="465"/>
      <c r="CO211" s="465"/>
      <c r="CP211" s="465"/>
      <c r="CQ211" s="465"/>
      <c r="CR211" s="465"/>
      <c r="CS211" s="465"/>
      <c r="CT211" s="465"/>
      <c r="CU211" s="465"/>
      <c r="CV211" s="465"/>
      <c r="CW211" s="465"/>
      <c r="CX211" s="465"/>
      <c r="CY211" s="465"/>
      <c r="CZ211" s="465"/>
      <c r="DA211" s="465"/>
      <c r="DB211" s="465"/>
      <c r="DC211" s="465"/>
      <c r="DD211" s="465"/>
      <c r="DE211" s="465"/>
      <c r="DF211" s="465"/>
      <c r="DG211" s="465"/>
      <c r="DH211" s="465"/>
      <c r="DI211" s="465"/>
      <c r="DJ211" s="465"/>
      <c r="DK211" s="465"/>
      <c r="DL211" s="465"/>
      <c r="DM211" s="465"/>
      <c r="DN211" s="465"/>
      <c r="DO211" s="465"/>
      <c r="DP211" s="465"/>
      <c r="DQ211" s="465"/>
      <c r="DR211" s="465"/>
      <c r="DS211" s="465"/>
      <c r="DT211" s="465"/>
      <c r="DU211" s="465"/>
      <c r="DV211" s="465"/>
      <c r="DW211" s="465"/>
      <c r="DX211" s="465"/>
      <c r="DY211" s="465"/>
      <c r="DZ211" s="465"/>
      <c r="EA211" s="465"/>
      <c r="EB211" s="465"/>
      <c r="EC211" s="465"/>
      <c r="ED211" s="465"/>
      <c r="EE211" s="465"/>
      <c r="EF211" s="465"/>
      <c r="EG211" s="465"/>
      <c r="EH211" s="465"/>
      <c r="EI211" s="465"/>
      <c r="EJ211" s="465"/>
      <c r="EK211" s="465"/>
      <c r="EL211" s="465"/>
      <c r="EM211" s="465"/>
      <c r="EN211" s="465"/>
      <c r="EO211" s="465"/>
      <c r="EP211" s="465"/>
      <c r="EQ211" s="465"/>
      <c r="ER211" s="465"/>
      <c r="ES211" s="465"/>
      <c r="ET211" s="465"/>
      <c r="EU211" s="465"/>
      <c r="EV211" s="465"/>
      <c r="EW211" s="465"/>
      <c r="EX211" s="465"/>
      <c r="EY211" s="465"/>
      <c r="EZ211" s="465"/>
      <c r="FA211" s="465"/>
      <c r="FB211" s="465"/>
      <c r="FC211" s="465"/>
      <c r="FD211" s="465"/>
      <c r="FE211" s="465"/>
      <c r="FF211" s="465"/>
      <c r="FG211" s="465"/>
      <c r="FH211" s="465"/>
      <c r="FI211" s="465"/>
      <c r="FJ211" s="465"/>
      <c r="FK211" s="465"/>
      <c r="FL211" s="465"/>
      <c r="FM211" s="465"/>
      <c r="FN211" s="465"/>
      <c r="FO211" s="465"/>
      <c r="FP211" s="465"/>
      <c r="FQ211" s="465"/>
      <c r="FR211" s="465"/>
      <c r="FS211" s="465"/>
      <c r="FT211" s="465"/>
      <c r="FU211" s="465"/>
      <c r="FV211" s="465"/>
      <c r="FW211" s="465"/>
      <c r="FX211" s="465"/>
      <c r="FY211" s="465"/>
      <c r="FZ211" s="465"/>
      <c r="GA211" s="465"/>
      <c r="GB211" s="465"/>
      <c r="GC211" s="465"/>
      <c r="GD211" s="465"/>
      <c r="GE211" s="465"/>
      <c r="GF211" s="465"/>
      <c r="GG211" s="465"/>
      <c r="GH211" s="465"/>
      <c r="GI211" s="465"/>
      <c r="GJ211" s="465"/>
      <c r="GK211" s="465"/>
      <c r="GL211" s="465"/>
      <c r="GM211" s="465"/>
      <c r="GN211" s="465"/>
      <c r="GO211" s="465"/>
      <c r="GP211" s="465"/>
      <c r="GQ211" s="465"/>
      <c r="GR211" s="465"/>
      <c r="GS211" s="465"/>
      <c r="GT211" s="465"/>
      <c r="GU211" s="465"/>
      <c r="GV211" s="465"/>
      <c r="GW211" s="465"/>
      <c r="GX211" s="465"/>
      <c r="GY211" s="465"/>
      <c r="GZ211" s="465"/>
      <c r="HA211" s="465"/>
      <c r="HB211" s="465"/>
      <c r="HC211" s="465"/>
      <c r="HD211" s="465"/>
      <c r="HE211" s="465"/>
      <c r="HF211" s="465"/>
      <c r="HG211" s="465"/>
      <c r="HH211" s="465"/>
      <c r="HI211" s="465"/>
      <c r="HJ211" s="465"/>
      <c r="HK211" s="465"/>
      <c r="HL211" s="465"/>
      <c r="HM211" s="465"/>
      <c r="HN211" s="465"/>
      <c r="HO211" s="465"/>
      <c r="HP211" s="465"/>
      <c r="HQ211" s="465"/>
      <c r="HR211" s="465"/>
      <c r="HS211" s="465"/>
      <c r="HT211" s="465"/>
      <c r="HU211" s="465"/>
      <c r="HV211" s="465"/>
      <c r="HW211" s="465"/>
      <c r="HX211" s="465"/>
      <c r="HY211" s="465"/>
      <c r="HZ211" s="465"/>
      <c r="IA211" s="465"/>
      <c r="IB211" s="465"/>
      <c r="IC211" s="465"/>
      <c r="ID211" s="465"/>
      <c r="IE211" s="465"/>
      <c r="IF211" s="465"/>
      <c r="IG211" s="465"/>
      <c r="IH211" s="465"/>
      <c r="II211" s="465"/>
      <c r="IJ211" s="465"/>
      <c r="IK211" s="465"/>
      <c r="IL211" s="465"/>
      <c r="IM211" s="465"/>
      <c r="IN211" s="465"/>
      <c r="IO211" s="465"/>
      <c r="IP211" s="465"/>
      <c r="IQ211" s="465"/>
    </row>
    <row r="212" spans="1:251" s="466" customFormat="1">
      <c r="A212" s="325" t="s">
        <v>987</v>
      </c>
      <c r="B212" s="194">
        <f>0.31*12*B200*1.5</f>
        <v>13169.357999999997</v>
      </c>
      <c r="C212" s="465"/>
      <c r="D212" s="465"/>
      <c r="E212" s="465"/>
      <c r="F212" s="465"/>
      <c r="G212" s="465"/>
      <c r="H212" s="465"/>
      <c r="I212" s="465"/>
      <c r="J212" s="465"/>
      <c r="K212" s="465"/>
      <c r="L212" s="465"/>
      <c r="M212" s="465"/>
      <c r="N212" s="465"/>
      <c r="O212" s="465"/>
      <c r="P212" s="465"/>
      <c r="Q212" s="465"/>
      <c r="R212" s="465"/>
      <c r="S212" s="465"/>
      <c r="T212" s="465"/>
      <c r="U212" s="465"/>
      <c r="V212" s="465"/>
      <c r="W212" s="465"/>
      <c r="X212" s="465"/>
      <c r="Y212" s="465"/>
      <c r="Z212" s="465"/>
      <c r="AA212" s="465"/>
      <c r="AB212" s="465"/>
      <c r="AC212" s="465"/>
      <c r="AD212" s="465"/>
      <c r="AE212" s="465"/>
      <c r="AF212" s="465"/>
      <c r="AG212" s="465"/>
      <c r="AH212" s="465"/>
      <c r="AI212" s="465"/>
      <c r="AJ212" s="465"/>
      <c r="AK212" s="465"/>
      <c r="AL212" s="465"/>
      <c r="AM212" s="465"/>
      <c r="AN212" s="465"/>
      <c r="AO212" s="465"/>
      <c r="AP212" s="465"/>
      <c r="AQ212" s="465"/>
      <c r="AR212" s="465"/>
      <c r="AS212" s="465"/>
      <c r="AT212" s="465"/>
      <c r="AU212" s="465"/>
      <c r="AV212" s="465"/>
      <c r="AW212" s="465"/>
      <c r="AX212" s="465"/>
      <c r="AY212" s="465"/>
      <c r="AZ212" s="465"/>
      <c r="BA212" s="465"/>
      <c r="BB212" s="465"/>
      <c r="BC212" s="465"/>
      <c r="BD212" s="465"/>
      <c r="BE212" s="465"/>
      <c r="BF212" s="465"/>
      <c r="BG212" s="465"/>
      <c r="BH212" s="465"/>
      <c r="BI212" s="465"/>
      <c r="BJ212" s="465"/>
      <c r="BK212" s="465"/>
      <c r="BL212" s="465"/>
      <c r="BM212" s="465"/>
      <c r="BN212" s="465"/>
      <c r="BO212" s="465"/>
      <c r="BP212" s="465"/>
      <c r="BQ212" s="465"/>
      <c r="BR212" s="465"/>
      <c r="BS212" s="465"/>
      <c r="BT212" s="465"/>
      <c r="BU212" s="465"/>
      <c r="BV212" s="465"/>
      <c r="BW212" s="465"/>
      <c r="BX212" s="465"/>
      <c r="BY212" s="465"/>
      <c r="BZ212" s="465"/>
      <c r="CA212" s="465"/>
      <c r="CB212" s="465"/>
      <c r="CC212" s="465"/>
      <c r="CD212" s="465"/>
      <c r="CE212" s="465"/>
      <c r="CF212" s="465"/>
      <c r="CG212" s="465"/>
      <c r="CH212" s="465"/>
      <c r="CI212" s="465"/>
      <c r="CJ212" s="465"/>
      <c r="CK212" s="465"/>
      <c r="CL212" s="465"/>
      <c r="CM212" s="465"/>
      <c r="CN212" s="465"/>
      <c r="CO212" s="465"/>
      <c r="CP212" s="465"/>
      <c r="CQ212" s="465"/>
      <c r="CR212" s="465"/>
      <c r="CS212" s="465"/>
      <c r="CT212" s="465"/>
      <c r="CU212" s="465"/>
      <c r="CV212" s="465"/>
      <c r="CW212" s="465"/>
      <c r="CX212" s="465"/>
      <c r="CY212" s="465"/>
      <c r="CZ212" s="465"/>
      <c r="DA212" s="465"/>
      <c r="DB212" s="465"/>
      <c r="DC212" s="465"/>
      <c r="DD212" s="465"/>
      <c r="DE212" s="465"/>
      <c r="DF212" s="465"/>
      <c r="DG212" s="465"/>
      <c r="DH212" s="465"/>
      <c r="DI212" s="465"/>
      <c r="DJ212" s="465"/>
      <c r="DK212" s="465"/>
      <c r="DL212" s="465"/>
      <c r="DM212" s="465"/>
      <c r="DN212" s="465"/>
      <c r="DO212" s="465"/>
      <c r="DP212" s="465"/>
      <c r="DQ212" s="465"/>
      <c r="DR212" s="465"/>
      <c r="DS212" s="465"/>
      <c r="DT212" s="465"/>
      <c r="DU212" s="465"/>
      <c r="DV212" s="465"/>
      <c r="DW212" s="465"/>
      <c r="DX212" s="465"/>
      <c r="DY212" s="465"/>
      <c r="DZ212" s="465"/>
      <c r="EA212" s="465"/>
      <c r="EB212" s="465"/>
      <c r="EC212" s="465"/>
      <c r="ED212" s="465"/>
      <c r="EE212" s="465"/>
      <c r="EF212" s="465"/>
      <c r="EG212" s="465"/>
      <c r="EH212" s="465"/>
      <c r="EI212" s="465"/>
      <c r="EJ212" s="465"/>
      <c r="EK212" s="465"/>
      <c r="EL212" s="465"/>
      <c r="EM212" s="465"/>
      <c r="EN212" s="465"/>
      <c r="EO212" s="465"/>
      <c r="EP212" s="465"/>
      <c r="EQ212" s="465"/>
      <c r="ER212" s="465"/>
      <c r="ES212" s="465"/>
      <c r="ET212" s="465"/>
      <c r="EU212" s="465"/>
      <c r="EV212" s="465"/>
      <c r="EW212" s="465"/>
      <c r="EX212" s="465"/>
      <c r="EY212" s="465"/>
      <c r="EZ212" s="465"/>
      <c r="FA212" s="465"/>
      <c r="FB212" s="465"/>
      <c r="FC212" s="465"/>
      <c r="FD212" s="465"/>
      <c r="FE212" s="465"/>
      <c r="FF212" s="465"/>
      <c r="FG212" s="465"/>
      <c r="FH212" s="465"/>
      <c r="FI212" s="465"/>
      <c r="FJ212" s="465"/>
      <c r="FK212" s="465"/>
      <c r="FL212" s="465"/>
      <c r="FM212" s="465"/>
      <c r="FN212" s="465"/>
      <c r="FO212" s="465"/>
      <c r="FP212" s="465"/>
      <c r="FQ212" s="465"/>
      <c r="FR212" s="465"/>
      <c r="FS212" s="465"/>
      <c r="FT212" s="465"/>
      <c r="FU212" s="465"/>
      <c r="FV212" s="465"/>
      <c r="FW212" s="465"/>
      <c r="FX212" s="465"/>
      <c r="FY212" s="465"/>
      <c r="FZ212" s="465"/>
      <c r="GA212" s="465"/>
      <c r="GB212" s="465"/>
      <c r="GC212" s="465"/>
      <c r="GD212" s="465"/>
      <c r="GE212" s="465"/>
      <c r="GF212" s="465"/>
      <c r="GG212" s="465"/>
      <c r="GH212" s="465"/>
      <c r="GI212" s="465"/>
      <c r="GJ212" s="465"/>
      <c r="GK212" s="465"/>
      <c r="GL212" s="465"/>
      <c r="GM212" s="465"/>
      <c r="GN212" s="465"/>
      <c r="GO212" s="465"/>
      <c r="GP212" s="465"/>
      <c r="GQ212" s="465"/>
      <c r="GR212" s="465"/>
      <c r="GS212" s="465"/>
      <c r="GT212" s="465"/>
      <c r="GU212" s="465"/>
      <c r="GV212" s="465"/>
      <c r="GW212" s="465"/>
      <c r="GX212" s="465"/>
      <c r="GY212" s="465"/>
      <c r="GZ212" s="465"/>
      <c r="HA212" s="465"/>
      <c r="HB212" s="465"/>
      <c r="HC212" s="465"/>
      <c r="HD212" s="465"/>
      <c r="HE212" s="465"/>
      <c r="HF212" s="465"/>
      <c r="HG212" s="465"/>
      <c r="HH212" s="465"/>
      <c r="HI212" s="465"/>
      <c r="HJ212" s="465"/>
      <c r="HK212" s="465"/>
      <c r="HL212" s="465"/>
      <c r="HM212" s="465"/>
      <c r="HN212" s="465"/>
      <c r="HO212" s="465"/>
      <c r="HP212" s="465"/>
      <c r="HQ212" s="465"/>
      <c r="HR212" s="465"/>
      <c r="HS212" s="465"/>
      <c r="HT212" s="465"/>
      <c r="HU212" s="465"/>
      <c r="HV212" s="465"/>
      <c r="HW212" s="465"/>
      <c r="HX212" s="465"/>
      <c r="HY212" s="465"/>
      <c r="HZ212" s="465"/>
      <c r="IA212" s="465"/>
      <c r="IB212" s="465"/>
      <c r="IC212" s="465"/>
      <c r="ID212" s="465"/>
      <c r="IE212" s="465"/>
      <c r="IF212" s="465"/>
      <c r="IG212" s="465"/>
      <c r="IH212" s="465"/>
      <c r="II212" s="465"/>
      <c r="IJ212" s="465"/>
      <c r="IK212" s="465"/>
      <c r="IL212" s="465"/>
      <c r="IM212" s="465"/>
      <c r="IN212" s="465"/>
      <c r="IO212" s="465"/>
      <c r="IP212" s="465"/>
      <c r="IQ212" s="465"/>
    </row>
    <row r="213" spans="1:251" s="466" customFormat="1">
      <c r="A213" s="325" t="s">
        <v>520</v>
      </c>
      <c r="B213" s="194">
        <f>0.89*12*B200*1.5</f>
        <v>37808.801999999996</v>
      </c>
      <c r="C213" s="465"/>
      <c r="D213" s="465"/>
      <c r="E213" s="465"/>
      <c r="F213" s="465"/>
      <c r="G213" s="465"/>
      <c r="H213" s="465"/>
      <c r="I213" s="465"/>
      <c r="J213" s="465"/>
      <c r="K213" s="465"/>
      <c r="L213" s="465"/>
      <c r="M213" s="465"/>
      <c r="N213" s="465"/>
      <c r="O213" s="465"/>
      <c r="P213" s="465"/>
      <c r="Q213" s="465"/>
      <c r="R213" s="465"/>
      <c r="S213" s="465"/>
      <c r="T213" s="465"/>
      <c r="U213" s="465"/>
      <c r="V213" s="465"/>
      <c r="W213" s="465"/>
      <c r="X213" s="465"/>
      <c r="Y213" s="465"/>
      <c r="Z213" s="465"/>
      <c r="AA213" s="465"/>
      <c r="AB213" s="465"/>
      <c r="AC213" s="465"/>
      <c r="AD213" s="465"/>
      <c r="AE213" s="465"/>
      <c r="AF213" s="465"/>
      <c r="AG213" s="465"/>
      <c r="AH213" s="465"/>
      <c r="AI213" s="465"/>
      <c r="AJ213" s="465"/>
      <c r="AK213" s="465"/>
      <c r="AL213" s="465"/>
      <c r="AM213" s="465"/>
      <c r="AN213" s="465"/>
      <c r="AO213" s="465"/>
      <c r="AP213" s="465"/>
      <c r="AQ213" s="465"/>
      <c r="AR213" s="465"/>
      <c r="AS213" s="465"/>
      <c r="AT213" s="465"/>
      <c r="AU213" s="465"/>
      <c r="AV213" s="465"/>
      <c r="AW213" s="465"/>
      <c r="AX213" s="465"/>
      <c r="AY213" s="465"/>
      <c r="AZ213" s="465"/>
      <c r="BA213" s="465"/>
      <c r="BB213" s="465"/>
      <c r="BC213" s="465"/>
      <c r="BD213" s="465"/>
      <c r="BE213" s="465"/>
      <c r="BF213" s="465"/>
      <c r="BG213" s="465"/>
      <c r="BH213" s="465"/>
      <c r="BI213" s="465"/>
      <c r="BJ213" s="465"/>
      <c r="BK213" s="465"/>
      <c r="BL213" s="465"/>
      <c r="BM213" s="465"/>
      <c r="BN213" s="465"/>
      <c r="BO213" s="465"/>
      <c r="BP213" s="465"/>
      <c r="BQ213" s="465"/>
      <c r="BR213" s="465"/>
      <c r="BS213" s="465"/>
      <c r="BT213" s="465"/>
      <c r="BU213" s="465"/>
      <c r="BV213" s="465"/>
      <c r="BW213" s="465"/>
      <c r="BX213" s="465"/>
      <c r="BY213" s="465"/>
      <c r="BZ213" s="465"/>
      <c r="CA213" s="465"/>
      <c r="CB213" s="465"/>
      <c r="CC213" s="465"/>
      <c r="CD213" s="465"/>
      <c r="CE213" s="465"/>
      <c r="CF213" s="465"/>
      <c r="CG213" s="465"/>
      <c r="CH213" s="465"/>
      <c r="CI213" s="465"/>
      <c r="CJ213" s="465"/>
      <c r="CK213" s="465"/>
      <c r="CL213" s="465"/>
      <c r="CM213" s="465"/>
      <c r="CN213" s="465"/>
      <c r="CO213" s="465"/>
      <c r="CP213" s="465"/>
      <c r="CQ213" s="465"/>
      <c r="CR213" s="465"/>
      <c r="CS213" s="465"/>
      <c r="CT213" s="465"/>
      <c r="CU213" s="465"/>
      <c r="CV213" s="465"/>
      <c r="CW213" s="465"/>
      <c r="CX213" s="465"/>
      <c r="CY213" s="465"/>
      <c r="CZ213" s="465"/>
      <c r="DA213" s="465"/>
      <c r="DB213" s="465"/>
      <c r="DC213" s="465"/>
      <c r="DD213" s="465"/>
      <c r="DE213" s="465"/>
      <c r="DF213" s="465"/>
      <c r="DG213" s="465"/>
      <c r="DH213" s="465"/>
      <c r="DI213" s="465"/>
      <c r="DJ213" s="465"/>
      <c r="DK213" s="465"/>
      <c r="DL213" s="465"/>
      <c r="DM213" s="465"/>
      <c r="DN213" s="465"/>
      <c r="DO213" s="465"/>
      <c r="DP213" s="465"/>
      <c r="DQ213" s="465"/>
      <c r="DR213" s="465"/>
      <c r="DS213" s="465"/>
      <c r="DT213" s="465"/>
      <c r="DU213" s="465"/>
      <c r="DV213" s="465"/>
      <c r="DW213" s="465"/>
      <c r="DX213" s="465"/>
      <c r="DY213" s="465"/>
      <c r="DZ213" s="465"/>
      <c r="EA213" s="465"/>
      <c r="EB213" s="465"/>
      <c r="EC213" s="465"/>
      <c r="ED213" s="465"/>
      <c r="EE213" s="465"/>
      <c r="EF213" s="465"/>
      <c r="EG213" s="465"/>
      <c r="EH213" s="465"/>
      <c r="EI213" s="465"/>
      <c r="EJ213" s="465"/>
      <c r="EK213" s="465"/>
      <c r="EL213" s="465"/>
      <c r="EM213" s="465"/>
      <c r="EN213" s="465"/>
      <c r="EO213" s="465"/>
      <c r="EP213" s="465"/>
      <c r="EQ213" s="465"/>
      <c r="ER213" s="465"/>
      <c r="ES213" s="465"/>
      <c r="ET213" s="465"/>
      <c r="EU213" s="465"/>
      <c r="EV213" s="465"/>
      <c r="EW213" s="465"/>
      <c r="EX213" s="465"/>
      <c r="EY213" s="465"/>
      <c r="EZ213" s="465"/>
      <c r="FA213" s="465"/>
      <c r="FB213" s="465"/>
      <c r="FC213" s="465"/>
      <c r="FD213" s="465"/>
      <c r="FE213" s="465"/>
      <c r="FF213" s="465"/>
      <c r="FG213" s="465"/>
      <c r="FH213" s="465"/>
      <c r="FI213" s="465"/>
      <c r="FJ213" s="465"/>
      <c r="FK213" s="465"/>
      <c r="FL213" s="465"/>
      <c r="FM213" s="465"/>
      <c r="FN213" s="465"/>
      <c r="FO213" s="465"/>
      <c r="FP213" s="465"/>
      <c r="FQ213" s="465"/>
      <c r="FR213" s="465"/>
      <c r="FS213" s="465"/>
      <c r="FT213" s="465"/>
      <c r="FU213" s="465"/>
      <c r="FV213" s="465"/>
      <c r="FW213" s="465"/>
      <c r="FX213" s="465"/>
      <c r="FY213" s="465"/>
      <c r="FZ213" s="465"/>
      <c r="GA213" s="465"/>
      <c r="GB213" s="465"/>
      <c r="GC213" s="465"/>
      <c r="GD213" s="465"/>
      <c r="GE213" s="465"/>
      <c r="GF213" s="465"/>
      <c r="GG213" s="465"/>
      <c r="GH213" s="465"/>
      <c r="GI213" s="465"/>
      <c r="GJ213" s="465"/>
      <c r="GK213" s="465"/>
      <c r="GL213" s="465"/>
      <c r="GM213" s="465"/>
      <c r="GN213" s="465"/>
      <c r="GO213" s="465"/>
      <c r="GP213" s="465"/>
      <c r="GQ213" s="465"/>
      <c r="GR213" s="465"/>
      <c r="GS213" s="465"/>
      <c r="GT213" s="465"/>
      <c r="GU213" s="465"/>
      <c r="GV213" s="465"/>
      <c r="GW213" s="465"/>
      <c r="GX213" s="465"/>
      <c r="GY213" s="465"/>
      <c r="GZ213" s="465"/>
      <c r="HA213" s="465"/>
      <c r="HB213" s="465"/>
      <c r="HC213" s="465"/>
      <c r="HD213" s="465"/>
      <c r="HE213" s="465"/>
      <c r="HF213" s="465"/>
      <c r="HG213" s="465"/>
      <c r="HH213" s="465"/>
      <c r="HI213" s="465"/>
      <c r="HJ213" s="465"/>
      <c r="HK213" s="465"/>
      <c r="HL213" s="465"/>
      <c r="HM213" s="465"/>
      <c r="HN213" s="465"/>
      <c r="HO213" s="465"/>
      <c r="HP213" s="465"/>
      <c r="HQ213" s="465"/>
      <c r="HR213" s="465"/>
      <c r="HS213" s="465"/>
      <c r="HT213" s="465"/>
      <c r="HU213" s="465"/>
      <c r="HV213" s="465"/>
      <c r="HW213" s="465"/>
      <c r="HX213" s="465"/>
      <c r="HY213" s="465"/>
      <c r="HZ213" s="465"/>
      <c r="IA213" s="465"/>
      <c r="IB213" s="465"/>
      <c r="IC213" s="465"/>
      <c r="ID213" s="465"/>
      <c r="IE213" s="465"/>
      <c r="IF213" s="465"/>
      <c r="IG213" s="465"/>
      <c r="IH213" s="465"/>
      <c r="II213" s="465"/>
      <c r="IJ213" s="465"/>
      <c r="IK213" s="465"/>
      <c r="IL213" s="465"/>
      <c r="IM213" s="465"/>
      <c r="IN213" s="465"/>
      <c r="IO213" s="465"/>
      <c r="IP213" s="465"/>
      <c r="IQ213" s="465"/>
    </row>
    <row r="214" spans="1:251" s="75" customFormat="1">
      <c r="A214" s="325" t="s">
        <v>2932</v>
      </c>
      <c r="B214" s="194">
        <f>1800*2*1.5</f>
        <v>5400</v>
      </c>
      <c r="C214" s="197">
        <v>21.03</v>
      </c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  <c r="AR214" s="197"/>
      <c r="AS214" s="197"/>
      <c r="AT214" s="197"/>
      <c r="AU214" s="197"/>
      <c r="AV214" s="197"/>
      <c r="AW214" s="197"/>
      <c r="AX214" s="197"/>
      <c r="AY214" s="197"/>
      <c r="AZ214" s="197"/>
      <c r="BA214" s="197"/>
      <c r="BB214" s="197"/>
      <c r="BC214" s="197"/>
      <c r="BD214" s="197"/>
      <c r="BE214" s="197"/>
      <c r="BF214" s="197"/>
      <c r="BG214" s="197"/>
      <c r="BH214" s="197"/>
      <c r="BI214" s="197"/>
      <c r="BJ214" s="197"/>
      <c r="BK214" s="197"/>
      <c r="BL214" s="197"/>
      <c r="BM214" s="197"/>
      <c r="BN214" s="197"/>
      <c r="BO214" s="197"/>
      <c r="BP214" s="197"/>
      <c r="BQ214" s="197"/>
      <c r="BR214" s="197"/>
      <c r="BS214" s="197"/>
      <c r="BT214" s="197"/>
      <c r="BU214" s="197"/>
      <c r="BV214" s="197"/>
      <c r="BW214" s="197"/>
      <c r="BX214" s="197"/>
      <c r="BY214" s="197"/>
      <c r="BZ214" s="197"/>
      <c r="CA214" s="197"/>
      <c r="CB214" s="197"/>
      <c r="CC214" s="197"/>
      <c r="CD214" s="197"/>
      <c r="CE214" s="197"/>
      <c r="CF214" s="197"/>
      <c r="CG214" s="197"/>
      <c r="CH214" s="197"/>
      <c r="CI214" s="197"/>
      <c r="CJ214" s="197"/>
      <c r="CK214" s="197"/>
      <c r="CL214" s="197"/>
      <c r="CM214" s="197"/>
      <c r="CN214" s="197"/>
      <c r="CO214" s="197"/>
      <c r="CP214" s="197"/>
      <c r="CQ214" s="197"/>
      <c r="CR214" s="197"/>
      <c r="CS214" s="197"/>
      <c r="CT214" s="197"/>
      <c r="CU214" s="197"/>
      <c r="CV214" s="197"/>
      <c r="CW214" s="197"/>
      <c r="CX214" s="197"/>
      <c r="CY214" s="197"/>
      <c r="CZ214" s="197"/>
      <c r="DA214" s="197"/>
      <c r="DB214" s="197"/>
      <c r="DC214" s="197"/>
      <c r="DD214" s="197"/>
      <c r="DE214" s="197"/>
      <c r="DF214" s="197"/>
      <c r="DG214" s="197"/>
      <c r="DH214" s="197"/>
      <c r="DI214" s="197"/>
      <c r="DJ214" s="197"/>
      <c r="DK214" s="197"/>
      <c r="DL214" s="197"/>
      <c r="DM214" s="197"/>
      <c r="DN214" s="197"/>
      <c r="DO214" s="197"/>
      <c r="DP214" s="197"/>
      <c r="DQ214" s="197"/>
      <c r="DR214" s="197"/>
      <c r="DS214" s="197"/>
      <c r="DT214" s="197"/>
      <c r="DU214" s="197"/>
      <c r="DV214" s="197"/>
      <c r="DW214" s="197"/>
      <c r="DX214" s="197"/>
      <c r="DY214" s="197"/>
      <c r="DZ214" s="197"/>
      <c r="EA214" s="197"/>
      <c r="EB214" s="197"/>
      <c r="EC214" s="197"/>
      <c r="ED214" s="197"/>
      <c r="EE214" s="197"/>
      <c r="EF214" s="197"/>
      <c r="EG214" s="197"/>
      <c r="EH214" s="197"/>
      <c r="EI214" s="197"/>
      <c r="EJ214" s="197"/>
      <c r="EK214" s="197"/>
      <c r="EL214" s="197"/>
      <c r="EM214" s="197"/>
      <c r="EN214" s="197"/>
      <c r="EO214" s="197"/>
      <c r="EP214" s="197"/>
      <c r="EQ214" s="197"/>
      <c r="ER214" s="197"/>
      <c r="ES214" s="197"/>
      <c r="ET214" s="197"/>
      <c r="EU214" s="197"/>
      <c r="EV214" s="197"/>
      <c r="EW214" s="197"/>
      <c r="EX214" s="197"/>
      <c r="EY214" s="197"/>
      <c r="EZ214" s="197"/>
      <c r="FA214" s="197"/>
      <c r="FB214" s="197"/>
      <c r="FC214" s="197"/>
      <c r="FD214" s="197"/>
      <c r="FE214" s="197"/>
      <c r="FF214" s="197"/>
      <c r="FG214" s="197"/>
      <c r="FH214" s="197"/>
      <c r="FI214" s="197"/>
      <c r="FJ214" s="197"/>
      <c r="FK214" s="197"/>
      <c r="FL214" s="197"/>
      <c r="FM214" s="197"/>
      <c r="FN214" s="197"/>
      <c r="FO214" s="197"/>
      <c r="FP214" s="197"/>
      <c r="FQ214" s="197"/>
      <c r="FR214" s="197"/>
      <c r="FS214" s="197"/>
      <c r="FT214" s="197"/>
      <c r="FU214" s="197"/>
      <c r="FV214" s="197"/>
      <c r="FW214" s="197"/>
      <c r="FX214" s="197"/>
      <c r="FY214" s="197"/>
      <c r="FZ214" s="197"/>
      <c r="GA214" s="197"/>
      <c r="GB214" s="197"/>
      <c r="GC214" s="197"/>
      <c r="GD214" s="197"/>
      <c r="GE214" s="197"/>
      <c r="GF214" s="197"/>
      <c r="GG214" s="197"/>
      <c r="GH214" s="197"/>
      <c r="GI214" s="197"/>
      <c r="GJ214" s="197"/>
      <c r="GK214" s="197"/>
      <c r="GL214" s="197"/>
      <c r="GM214" s="197"/>
      <c r="GN214" s="197"/>
      <c r="GO214" s="197"/>
      <c r="GP214" s="197"/>
      <c r="GQ214" s="197"/>
      <c r="GR214" s="197"/>
      <c r="GS214" s="197"/>
      <c r="GT214" s="197"/>
      <c r="GU214" s="197"/>
      <c r="GV214" s="197"/>
      <c r="GW214" s="197"/>
      <c r="GX214" s="197"/>
      <c r="GY214" s="197"/>
      <c r="GZ214" s="197"/>
      <c r="HA214" s="197"/>
      <c r="HB214" s="197"/>
      <c r="HC214" s="197"/>
      <c r="HD214" s="197"/>
      <c r="HE214" s="197"/>
      <c r="HF214" s="197"/>
      <c r="HG214" s="197"/>
      <c r="HH214" s="197"/>
      <c r="HI214" s="197"/>
      <c r="HJ214" s="197"/>
      <c r="HK214" s="197"/>
      <c r="HL214" s="197"/>
      <c r="HM214" s="197"/>
      <c r="HN214" s="197"/>
      <c r="HO214" s="197"/>
      <c r="HP214" s="197"/>
      <c r="HQ214" s="197"/>
      <c r="HR214" s="197"/>
      <c r="HS214" s="197"/>
      <c r="HT214" s="197"/>
      <c r="HU214" s="197"/>
      <c r="HV214" s="197"/>
      <c r="HW214" s="197"/>
      <c r="HX214" s="197"/>
      <c r="HY214" s="197"/>
      <c r="HZ214" s="197"/>
      <c r="IA214" s="197"/>
      <c r="IB214" s="197"/>
      <c r="IC214" s="197"/>
      <c r="ID214" s="197"/>
      <c r="IE214" s="197"/>
      <c r="IF214" s="197"/>
      <c r="IG214" s="197"/>
      <c r="IH214" s="197"/>
      <c r="II214" s="197"/>
      <c r="IJ214" s="197"/>
      <c r="IK214" s="197"/>
      <c r="IL214" s="197"/>
      <c r="IM214" s="197"/>
      <c r="IN214" s="197"/>
      <c r="IO214" s="197"/>
      <c r="IP214" s="197"/>
      <c r="IQ214" s="197"/>
    </row>
    <row r="215" spans="1:251">
      <c r="A215" s="325" t="s">
        <v>2027</v>
      </c>
      <c r="B215" s="194">
        <f>9915*1.5</f>
        <v>14872.5</v>
      </c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179"/>
      <c r="AT215" s="179"/>
      <c r="AU215" s="179"/>
      <c r="AV215" s="179"/>
      <c r="AW215" s="179"/>
      <c r="AX215" s="179"/>
      <c r="AY215" s="179"/>
      <c r="AZ215" s="179"/>
      <c r="BA215" s="179"/>
      <c r="BB215" s="179"/>
      <c r="BC215" s="179"/>
      <c r="BD215" s="179"/>
      <c r="BE215" s="179"/>
      <c r="BF215" s="179"/>
      <c r="BG215" s="179"/>
      <c r="BH215" s="179"/>
      <c r="BI215" s="179"/>
      <c r="BJ215" s="179"/>
      <c r="BK215" s="179"/>
      <c r="BL215" s="179"/>
      <c r="BM215" s="179"/>
      <c r="BN215" s="179"/>
      <c r="BO215" s="179"/>
      <c r="BP215" s="179"/>
      <c r="BQ215" s="179"/>
      <c r="BR215" s="179"/>
      <c r="BS215" s="179"/>
      <c r="BT215" s="179"/>
      <c r="BU215" s="179"/>
      <c r="BV215" s="179"/>
      <c r="BW215" s="179"/>
      <c r="BX215" s="179"/>
      <c r="BY215" s="179"/>
      <c r="BZ215" s="179"/>
      <c r="CA215" s="179"/>
      <c r="CB215" s="179"/>
      <c r="CC215" s="179"/>
      <c r="CD215" s="179"/>
      <c r="CE215" s="179"/>
      <c r="CF215" s="179"/>
      <c r="CG215" s="179"/>
      <c r="CH215" s="179"/>
      <c r="CI215" s="179"/>
      <c r="CJ215" s="179"/>
      <c r="CK215" s="179"/>
      <c r="CL215" s="179"/>
      <c r="CM215" s="179"/>
      <c r="CN215" s="179"/>
      <c r="CO215" s="179"/>
      <c r="CP215" s="179"/>
      <c r="CQ215" s="179"/>
      <c r="CR215" s="179"/>
      <c r="CS215" s="179"/>
      <c r="CT215" s="179"/>
      <c r="CU215" s="179"/>
      <c r="CV215" s="179"/>
      <c r="CW215" s="179"/>
      <c r="CX215" s="179"/>
      <c r="CY215" s="179"/>
      <c r="CZ215" s="179"/>
      <c r="DA215" s="179"/>
      <c r="DB215" s="179"/>
      <c r="DC215" s="179"/>
      <c r="DD215" s="179"/>
      <c r="DE215" s="179"/>
      <c r="DF215" s="179"/>
      <c r="DG215" s="179"/>
      <c r="DH215" s="179"/>
      <c r="DI215" s="179"/>
      <c r="DJ215" s="179"/>
      <c r="DK215" s="179"/>
      <c r="DL215" s="179"/>
      <c r="DM215" s="179"/>
      <c r="DN215" s="179"/>
      <c r="DO215" s="179"/>
      <c r="DP215" s="179"/>
      <c r="DQ215" s="179"/>
      <c r="DR215" s="179"/>
      <c r="DS215" s="179"/>
      <c r="DT215" s="179"/>
      <c r="DU215" s="179"/>
      <c r="DV215" s="179"/>
      <c r="DW215" s="179"/>
      <c r="DX215" s="179"/>
      <c r="DY215" s="179"/>
      <c r="DZ215" s="179"/>
      <c r="EA215" s="179"/>
      <c r="EB215" s="179"/>
      <c r="EC215" s="179"/>
      <c r="ED215" s="179"/>
      <c r="EE215" s="179"/>
      <c r="EF215" s="179"/>
      <c r="EG215" s="179"/>
      <c r="EH215" s="179"/>
      <c r="EI215" s="179"/>
      <c r="EJ215" s="179"/>
      <c r="EK215" s="179"/>
      <c r="EL215" s="179"/>
      <c r="EM215" s="179"/>
      <c r="EN215" s="179"/>
      <c r="EO215" s="179"/>
      <c r="EP215" s="179"/>
      <c r="EQ215" s="179"/>
      <c r="ER215" s="179"/>
      <c r="ES215" s="179"/>
      <c r="ET215" s="179"/>
      <c r="EU215" s="179"/>
      <c r="EV215" s="179"/>
      <c r="EW215" s="179"/>
      <c r="EX215" s="179"/>
      <c r="EY215" s="179"/>
      <c r="EZ215" s="179"/>
      <c r="FA215" s="179"/>
      <c r="FB215" s="179"/>
      <c r="FC215" s="179"/>
      <c r="FD215" s="179"/>
      <c r="FE215" s="179"/>
      <c r="FF215" s="179"/>
      <c r="FG215" s="179"/>
      <c r="FH215" s="179"/>
      <c r="FI215" s="179"/>
      <c r="FJ215" s="179"/>
      <c r="FK215" s="179"/>
      <c r="FL215" s="179"/>
      <c r="FM215" s="179"/>
      <c r="FN215" s="179"/>
      <c r="FO215" s="179"/>
      <c r="FP215" s="179"/>
      <c r="FQ215" s="179"/>
      <c r="FR215" s="179"/>
      <c r="FS215" s="179"/>
      <c r="FT215" s="179"/>
      <c r="FU215" s="179"/>
      <c r="FV215" s="179"/>
      <c r="FW215" s="179"/>
      <c r="FX215" s="179"/>
      <c r="FY215" s="179"/>
      <c r="FZ215" s="179"/>
      <c r="GA215" s="179"/>
      <c r="GB215" s="179"/>
      <c r="GC215" s="179"/>
      <c r="GD215" s="179"/>
      <c r="GE215" s="179"/>
      <c r="GF215" s="179"/>
      <c r="GG215" s="179"/>
      <c r="GH215" s="179"/>
      <c r="GI215" s="179"/>
      <c r="GJ215" s="179"/>
      <c r="GK215" s="179"/>
      <c r="GL215" s="179"/>
      <c r="GM215" s="179"/>
      <c r="GN215" s="179"/>
      <c r="GO215" s="179"/>
      <c r="GP215" s="179"/>
      <c r="GQ215" s="179"/>
      <c r="GR215" s="179"/>
      <c r="GS215" s="179"/>
      <c r="GT215" s="179"/>
      <c r="GU215" s="179"/>
      <c r="GV215" s="179"/>
      <c r="GW215" s="179"/>
      <c r="GX215" s="179"/>
      <c r="GY215" s="179"/>
      <c r="GZ215" s="179"/>
      <c r="HA215" s="179"/>
      <c r="HB215" s="179"/>
      <c r="HC215" s="179"/>
      <c r="HD215" s="179"/>
      <c r="HE215" s="179"/>
      <c r="HF215" s="179"/>
      <c r="HG215" s="179"/>
      <c r="HH215" s="179"/>
      <c r="HI215" s="179"/>
      <c r="HJ215" s="179"/>
      <c r="HK215" s="179"/>
      <c r="HL215" s="179"/>
      <c r="HM215" s="179"/>
      <c r="HN215" s="179"/>
      <c r="HO215" s="179"/>
      <c r="HP215" s="179"/>
      <c r="HQ215" s="179"/>
      <c r="HR215" s="179"/>
      <c r="HS215" s="179"/>
      <c r="HT215" s="179"/>
      <c r="HU215" s="179"/>
      <c r="HV215" s="179"/>
      <c r="HW215" s="179"/>
      <c r="HX215" s="179"/>
      <c r="HY215" s="179"/>
      <c r="HZ215" s="179"/>
      <c r="IA215" s="179"/>
      <c r="IB215" s="179"/>
      <c r="IC215" s="179"/>
      <c r="ID215" s="179"/>
      <c r="IE215" s="179"/>
      <c r="IF215" s="179"/>
      <c r="IG215" s="179"/>
      <c r="IH215" s="179"/>
      <c r="II215" s="179"/>
      <c r="IJ215" s="179"/>
      <c r="IK215" s="179"/>
      <c r="IL215" s="179"/>
      <c r="IM215" s="179"/>
      <c r="IN215" s="179"/>
      <c r="IO215" s="179"/>
      <c r="IP215" s="179"/>
      <c r="IQ215" s="179"/>
    </row>
    <row r="216" spans="1:251" s="466" customFormat="1">
      <c r="A216" s="325" t="s">
        <v>601</v>
      </c>
      <c r="B216" s="194">
        <f>0.9*9100*13*1.302*1.5</f>
        <v>207935.91</v>
      </c>
      <c r="C216" s="465"/>
      <c r="D216" s="465"/>
      <c r="E216" s="465"/>
      <c r="F216" s="465"/>
      <c r="G216" s="465"/>
      <c r="H216" s="465"/>
      <c r="I216" s="465"/>
      <c r="J216" s="465"/>
      <c r="K216" s="465"/>
      <c r="L216" s="465"/>
      <c r="M216" s="465"/>
      <c r="N216" s="465"/>
      <c r="O216" s="465"/>
      <c r="P216" s="465"/>
      <c r="Q216" s="465"/>
      <c r="R216" s="465"/>
      <c r="S216" s="465"/>
      <c r="T216" s="465"/>
      <c r="U216" s="465"/>
      <c r="V216" s="465"/>
      <c r="W216" s="465"/>
      <c r="X216" s="465"/>
      <c r="Y216" s="465"/>
      <c r="Z216" s="465"/>
      <c r="AA216" s="465"/>
      <c r="AB216" s="465"/>
      <c r="AC216" s="465"/>
      <c r="AD216" s="465"/>
      <c r="AE216" s="465"/>
      <c r="AF216" s="465"/>
      <c r="AG216" s="465"/>
      <c r="AH216" s="465"/>
      <c r="AI216" s="465"/>
      <c r="AJ216" s="465"/>
      <c r="AK216" s="465"/>
      <c r="AL216" s="465"/>
      <c r="AM216" s="465"/>
      <c r="AN216" s="465"/>
      <c r="AO216" s="465"/>
      <c r="AP216" s="465"/>
      <c r="AQ216" s="465"/>
      <c r="AR216" s="465"/>
      <c r="AS216" s="465"/>
      <c r="AT216" s="465"/>
      <c r="AU216" s="465"/>
      <c r="AV216" s="465"/>
      <c r="AW216" s="465"/>
      <c r="AX216" s="465"/>
      <c r="AY216" s="465"/>
      <c r="AZ216" s="465"/>
      <c r="BA216" s="465"/>
      <c r="BB216" s="465"/>
      <c r="BC216" s="465"/>
      <c r="BD216" s="465"/>
      <c r="BE216" s="465"/>
      <c r="BF216" s="465"/>
      <c r="BG216" s="465"/>
      <c r="BH216" s="465"/>
      <c r="BI216" s="465"/>
      <c r="BJ216" s="465"/>
      <c r="BK216" s="465"/>
      <c r="BL216" s="465"/>
      <c r="BM216" s="465"/>
      <c r="BN216" s="465"/>
      <c r="BO216" s="465"/>
      <c r="BP216" s="465"/>
      <c r="BQ216" s="465"/>
      <c r="BR216" s="465"/>
      <c r="BS216" s="465"/>
      <c r="BT216" s="465"/>
      <c r="BU216" s="465"/>
      <c r="BV216" s="465"/>
      <c r="BW216" s="465"/>
      <c r="BX216" s="465"/>
      <c r="BY216" s="465"/>
      <c r="BZ216" s="465"/>
      <c r="CA216" s="465"/>
      <c r="CB216" s="465"/>
      <c r="CC216" s="465"/>
      <c r="CD216" s="465"/>
      <c r="CE216" s="465"/>
      <c r="CF216" s="465"/>
      <c r="CG216" s="465"/>
      <c r="CH216" s="465"/>
      <c r="CI216" s="465"/>
      <c r="CJ216" s="465"/>
      <c r="CK216" s="465"/>
      <c r="CL216" s="465"/>
      <c r="CM216" s="465"/>
      <c r="CN216" s="465"/>
      <c r="CO216" s="465"/>
      <c r="CP216" s="465"/>
      <c r="CQ216" s="465"/>
      <c r="CR216" s="465"/>
      <c r="CS216" s="465"/>
      <c r="CT216" s="465"/>
      <c r="CU216" s="465"/>
      <c r="CV216" s="465"/>
      <c r="CW216" s="465"/>
      <c r="CX216" s="465"/>
      <c r="CY216" s="465"/>
      <c r="CZ216" s="465"/>
      <c r="DA216" s="465"/>
      <c r="DB216" s="465"/>
      <c r="DC216" s="465"/>
      <c r="DD216" s="465"/>
      <c r="DE216" s="465"/>
      <c r="DF216" s="465"/>
      <c r="DG216" s="465"/>
      <c r="DH216" s="465"/>
      <c r="DI216" s="465"/>
      <c r="DJ216" s="465"/>
      <c r="DK216" s="465"/>
      <c r="DL216" s="465"/>
      <c r="DM216" s="465"/>
      <c r="DN216" s="465"/>
      <c r="DO216" s="465"/>
      <c r="DP216" s="465"/>
      <c r="DQ216" s="465"/>
      <c r="DR216" s="465"/>
      <c r="DS216" s="465"/>
      <c r="DT216" s="465"/>
      <c r="DU216" s="465"/>
      <c r="DV216" s="465"/>
      <c r="DW216" s="465"/>
      <c r="DX216" s="465"/>
      <c r="DY216" s="465"/>
      <c r="DZ216" s="465"/>
      <c r="EA216" s="465"/>
      <c r="EB216" s="465"/>
      <c r="EC216" s="465"/>
      <c r="ED216" s="465"/>
      <c r="EE216" s="465"/>
      <c r="EF216" s="465"/>
      <c r="EG216" s="465"/>
      <c r="EH216" s="465"/>
      <c r="EI216" s="465"/>
      <c r="EJ216" s="465"/>
      <c r="EK216" s="465"/>
      <c r="EL216" s="465"/>
      <c r="EM216" s="465"/>
      <c r="EN216" s="465"/>
      <c r="EO216" s="465"/>
      <c r="EP216" s="465"/>
      <c r="EQ216" s="465"/>
      <c r="ER216" s="465"/>
      <c r="ES216" s="465"/>
      <c r="ET216" s="465"/>
      <c r="EU216" s="465"/>
      <c r="EV216" s="465"/>
      <c r="EW216" s="465"/>
      <c r="EX216" s="465"/>
      <c r="EY216" s="465"/>
      <c r="EZ216" s="465"/>
      <c r="FA216" s="465"/>
      <c r="FB216" s="465"/>
      <c r="FC216" s="465"/>
      <c r="FD216" s="465"/>
      <c r="FE216" s="465"/>
      <c r="FF216" s="465"/>
      <c r="FG216" s="465"/>
      <c r="FH216" s="465"/>
      <c r="FI216" s="465"/>
      <c r="FJ216" s="465"/>
      <c r="FK216" s="465"/>
      <c r="FL216" s="465"/>
      <c r="FM216" s="465"/>
      <c r="FN216" s="465"/>
      <c r="FO216" s="465"/>
      <c r="FP216" s="465"/>
      <c r="FQ216" s="465"/>
      <c r="FR216" s="465"/>
      <c r="FS216" s="465"/>
      <c r="FT216" s="465"/>
      <c r="FU216" s="465"/>
      <c r="FV216" s="465"/>
      <c r="FW216" s="465"/>
      <c r="FX216" s="465"/>
      <c r="FY216" s="465"/>
      <c r="FZ216" s="465"/>
      <c r="GA216" s="465"/>
      <c r="GB216" s="465"/>
      <c r="GC216" s="465"/>
      <c r="GD216" s="465"/>
      <c r="GE216" s="465"/>
      <c r="GF216" s="465"/>
      <c r="GG216" s="465"/>
      <c r="GH216" s="465"/>
      <c r="GI216" s="465"/>
      <c r="GJ216" s="465"/>
      <c r="GK216" s="465"/>
      <c r="GL216" s="465"/>
      <c r="GM216" s="465"/>
      <c r="GN216" s="465"/>
      <c r="GO216" s="465"/>
      <c r="GP216" s="465"/>
      <c r="GQ216" s="465"/>
      <c r="GR216" s="465"/>
      <c r="GS216" s="465"/>
      <c r="GT216" s="465"/>
      <c r="GU216" s="465"/>
      <c r="GV216" s="465"/>
      <c r="GW216" s="465"/>
      <c r="GX216" s="465"/>
      <c r="GY216" s="465"/>
      <c r="GZ216" s="465"/>
      <c r="HA216" s="465"/>
      <c r="HB216" s="465"/>
      <c r="HC216" s="465"/>
      <c r="HD216" s="465"/>
      <c r="HE216" s="465"/>
      <c r="HF216" s="465"/>
      <c r="HG216" s="465"/>
      <c r="HH216" s="465"/>
      <c r="HI216" s="465"/>
      <c r="HJ216" s="465"/>
      <c r="HK216" s="465"/>
      <c r="HL216" s="465"/>
      <c r="HM216" s="465"/>
      <c r="HN216" s="465"/>
      <c r="HO216" s="465"/>
      <c r="HP216" s="465"/>
      <c r="HQ216" s="465"/>
      <c r="HR216" s="465"/>
      <c r="HS216" s="465"/>
      <c r="HT216" s="465"/>
      <c r="HU216" s="465"/>
      <c r="HV216" s="465"/>
      <c r="HW216" s="465"/>
      <c r="HX216" s="465"/>
      <c r="HY216" s="465"/>
      <c r="HZ216" s="465"/>
      <c r="IA216" s="465"/>
      <c r="IB216" s="465"/>
      <c r="IC216" s="465"/>
      <c r="ID216" s="465"/>
      <c r="IE216" s="465"/>
      <c r="IF216" s="465"/>
      <c r="IG216" s="465"/>
      <c r="IH216" s="465"/>
      <c r="II216" s="465"/>
      <c r="IJ216" s="465"/>
      <c r="IK216" s="465"/>
      <c r="IL216" s="465"/>
      <c r="IM216" s="465"/>
      <c r="IN216" s="465"/>
      <c r="IO216" s="465"/>
      <c r="IP216" s="465"/>
      <c r="IQ216" s="465"/>
    </row>
    <row r="217" spans="1:251">
      <c r="A217" s="325" t="s">
        <v>602</v>
      </c>
      <c r="B217" s="194">
        <f>B197</f>
        <v>367.5</v>
      </c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179"/>
      <c r="AS217" s="179"/>
      <c r="AT217" s="179"/>
      <c r="AU217" s="179"/>
      <c r="AV217" s="179"/>
      <c r="AW217" s="179"/>
      <c r="AX217" s="179"/>
      <c r="AY217" s="179"/>
      <c r="AZ217" s="179"/>
      <c r="BA217" s="179"/>
      <c r="BB217" s="179"/>
      <c r="BC217" s="179"/>
      <c r="BD217" s="179"/>
      <c r="BE217" s="179"/>
      <c r="BF217" s="179"/>
      <c r="BG217" s="179"/>
      <c r="BH217" s="179"/>
      <c r="BI217" s="179"/>
      <c r="BJ217" s="179"/>
      <c r="BK217" s="179"/>
      <c r="BL217" s="179"/>
      <c r="BM217" s="179"/>
      <c r="BN217" s="179"/>
      <c r="BO217" s="179"/>
      <c r="BP217" s="179"/>
      <c r="BQ217" s="179"/>
      <c r="BR217" s="179"/>
      <c r="BS217" s="179"/>
      <c r="BT217" s="179"/>
      <c r="BU217" s="179"/>
      <c r="BV217" s="179"/>
      <c r="BW217" s="179"/>
      <c r="BX217" s="179"/>
      <c r="BY217" s="179"/>
      <c r="BZ217" s="179"/>
      <c r="CA217" s="179"/>
      <c r="CB217" s="179"/>
      <c r="CC217" s="179"/>
      <c r="CD217" s="179"/>
      <c r="CE217" s="179"/>
      <c r="CF217" s="179"/>
      <c r="CG217" s="179"/>
      <c r="CH217" s="179"/>
      <c r="CI217" s="179"/>
      <c r="CJ217" s="179"/>
      <c r="CK217" s="179"/>
      <c r="CL217" s="179"/>
      <c r="CM217" s="179"/>
      <c r="CN217" s="179"/>
      <c r="CO217" s="179"/>
      <c r="CP217" s="179"/>
      <c r="CQ217" s="179"/>
      <c r="CR217" s="179"/>
      <c r="CS217" s="179"/>
      <c r="CT217" s="179"/>
      <c r="CU217" s="179"/>
      <c r="CV217" s="179"/>
      <c r="CW217" s="179"/>
      <c r="CX217" s="179"/>
      <c r="CY217" s="179"/>
      <c r="CZ217" s="179"/>
      <c r="DA217" s="179"/>
      <c r="DB217" s="179"/>
      <c r="DC217" s="179"/>
      <c r="DD217" s="179"/>
      <c r="DE217" s="179"/>
      <c r="DF217" s="179"/>
      <c r="DG217" s="179"/>
      <c r="DH217" s="179"/>
      <c r="DI217" s="179"/>
      <c r="DJ217" s="179"/>
      <c r="DK217" s="179"/>
      <c r="DL217" s="179"/>
      <c r="DM217" s="179"/>
      <c r="DN217" s="179"/>
      <c r="DO217" s="179"/>
      <c r="DP217" s="179"/>
      <c r="DQ217" s="179"/>
      <c r="DR217" s="179"/>
      <c r="DS217" s="179"/>
      <c r="DT217" s="179"/>
      <c r="DU217" s="179"/>
      <c r="DV217" s="179"/>
      <c r="DW217" s="179"/>
      <c r="DX217" s="179"/>
      <c r="DY217" s="179"/>
      <c r="DZ217" s="179"/>
      <c r="EA217" s="179"/>
      <c r="EB217" s="179"/>
      <c r="EC217" s="179"/>
      <c r="ED217" s="179"/>
      <c r="EE217" s="179"/>
      <c r="EF217" s="179"/>
      <c r="EG217" s="179"/>
      <c r="EH217" s="179"/>
      <c r="EI217" s="179"/>
      <c r="EJ217" s="179"/>
      <c r="EK217" s="179"/>
      <c r="EL217" s="179"/>
      <c r="EM217" s="179"/>
      <c r="EN217" s="179"/>
      <c r="EO217" s="179"/>
      <c r="EP217" s="179"/>
      <c r="EQ217" s="179"/>
      <c r="ER217" s="179"/>
      <c r="ES217" s="179"/>
      <c r="ET217" s="179"/>
      <c r="EU217" s="179"/>
      <c r="EV217" s="179"/>
      <c r="EW217" s="179"/>
      <c r="EX217" s="179"/>
      <c r="EY217" s="179"/>
      <c r="EZ217" s="179"/>
      <c r="FA217" s="179"/>
      <c r="FB217" s="179"/>
      <c r="FC217" s="179"/>
      <c r="FD217" s="179"/>
      <c r="FE217" s="179"/>
      <c r="FF217" s="179"/>
      <c r="FG217" s="179"/>
      <c r="FH217" s="179"/>
      <c r="FI217" s="179"/>
      <c r="FJ217" s="179"/>
      <c r="FK217" s="179"/>
      <c r="FL217" s="179"/>
      <c r="FM217" s="179"/>
      <c r="FN217" s="179"/>
      <c r="FO217" s="179"/>
      <c r="FP217" s="179"/>
      <c r="FQ217" s="179"/>
      <c r="FR217" s="179"/>
      <c r="FS217" s="179"/>
      <c r="FT217" s="179"/>
      <c r="FU217" s="179"/>
      <c r="FV217" s="179"/>
      <c r="FW217" s="179"/>
      <c r="FX217" s="179"/>
      <c r="FY217" s="179"/>
      <c r="FZ217" s="179"/>
      <c r="GA217" s="179"/>
      <c r="GB217" s="179"/>
      <c r="GC217" s="179"/>
      <c r="GD217" s="179"/>
      <c r="GE217" s="179"/>
      <c r="GF217" s="179"/>
      <c r="GG217" s="179"/>
      <c r="GH217" s="179"/>
      <c r="GI217" s="179"/>
      <c r="GJ217" s="179"/>
      <c r="GK217" s="179"/>
      <c r="GL217" s="179"/>
      <c r="GM217" s="179"/>
      <c r="GN217" s="179"/>
      <c r="GO217" s="179"/>
      <c r="GP217" s="179"/>
      <c r="GQ217" s="179"/>
      <c r="GR217" s="179"/>
      <c r="GS217" s="179"/>
      <c r="GT217" s="179"/>
      <c r="GU217" s="179"/>
      <c r="GV217" s="179"/>
      <c r="GW217" s="179"/>
      <c r="GX217" s="179"/>
      <c r="GY217" s="179"/>
      <c r="GZ217" s="179"/>
      <c r="HA217" s="179"/>
      <c r="HB217" s="179"/>
      <c r="HC217" s="179"/>
      <c r="HD217" s="179"/>
      <c r="HE217" s="179"/>
      <c r="HF217" s="179"/>
      <c r="HG217" s="179"/>
      <c r="HH217" s="179"/>
      <c r="HI217" s="179"/>
      <c r="HJ217" s="179"/>
      <c r="HK217" s="179"/>
      <c r="HL217" s="179"/>
      <c r="HM217" s="179"/>
      <c r="HN217" s="179"/>
      <c r="HO217" s="179"/>
      <c r="HP217" s="179"/>
      <c r="HQ217" s="179"/>
      <c r="HR217" s="179"/>
      <c r="HS217" s="179"/>
      <c r="HT217" s="179"/>
      <c r="HU217" s="179"/>
      <c r="HV217" s="179"/>
      <c r="HW217" s="179"/>
      <c r="HX217" s="179"/>
      <c r="HY217" s="179"/>
      <c r="HZ217" s="179"/>
      <c r="IA217" s="179"/>
      <c r="IB217" s="179"/>
      <c r="IC217" s="179"/>
      <c r="ID217" s="179"/>
      <c r="IE217" s="179"/>
      <c r="IF217" s="179"/>
      <c r="IG217" s="179"/>
      <c r="IH217" s="179"/>
      <c r="II217" s="179"/>
      <c r="IJ217" s="179"/>
      <c r="IK217" s="179"/>
      <c r="IL217" s="179"/>
      <c r="IM217" s="179"/>
      <c r="IN217" s="179"/>
      <c r="IO217" s="179"/>
      <c r="IP217" s="179"/>
      <c r="IQ217" s="179"/>
    </row>
    <row r="218" spans="1:251">
      <c r="A218" s="325" t="s">
        <v>603</v>
      </c>
      <c r="B218" s="194">
        <f>B217*130*1.302*1.5</f>
        <v>93304.575000000012</v>
      </c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  <c r="AA218" s="179"/>
      <c r="AB218" s="179"/>
      <c r="AC218" s="179"/>
      <c r="AD218" s="179"/>
      <c r="AE218" s="179"/>
      <c r="AF218" s="179"/>
      <c r="AG218" s="179"/>
      <c r="AH218" s="179"/>
      <c r="AI218" s="179"/>
      <c r="AJ218" s="179"/>
      <c r="AK218" s="179"/>
      <c r="AL218" s="179"/>
      <c r="AM218" s="179"/>
      <c r="AN218" s="179"/>
      <c r="AO218" s="179"/>
      <c r="AP218" s="179"/>
      <c r="AQ218" s="179"/>
      <c r="AR218" s="179"/>
      <c r="AS218" s="179"/>
      <c r="AT218" s="179"/>
      <c r="AU218" s="179"/>
      <c r="AV218" s="179"/>
      <c r="AW218" s="179"/>
      <c r="AX218" s="179"/>
      <c r="AY218" s="179"/>
      <c r="AZ218" s="179"/>
      <c r="BA218" s="179"/>
      <c r="BB218" s="179"/>
      <c r="BC218" s="179"/>
      <c r="BD218" s="179"/>
      <c r="BE218" s="179"/>
      <c r="BF218" s="179"/>
      <c r="BG218" s="179"/>
      <c r="BH218" s="179"/>
      <c r="BI218" s="179"/>
      <c r="BJ218" s="179"/>
      <c r="BK218" s="179"/>
      <c r="BL218" s="179"/>
      <c r="BM218" s="179"/>
      <c r="BN218" s="179"/>
      <c r="BO218" s="179"/>
      <c r="BP218" s="179"/>
      <c r="BQ218" s="179"/>
      <c r="BR218" s="179"/>
      <c r="BS218" s="179"/>
      <c r="BT218" s="179"/>
      <c r="BU218" s="179"/>
      <c r="BV218" s="179"/>
      <c r="BW218" s="179"/>
      <c r="BX218" s="179"/>
      <c r="BY218" s="179"/>
      <c r="BZ218" s="179"/>
      <c r="CA218" s="179"/>
      <c r="CB218" s="179"/>
      <c r="CC218" s="179"/>
      <c r="CD218" s="179"/>
      <c r="CE218" s="179"/>
      <c r="CF218" s="179"/>
      <c r="CG218" s="179"/>
      <c r="CH218" s="179"/>
      <c r="CI218" s="179"/>
      <c r="CJ218" s="179"/>
      <c r="CK218" s="179"/>
      <c r="CL218" s="179"/>
      <c r="CM218" s="179"/>
      <c r="CN218" s="179"/>
      <c r="CO218" s="179"/>
      <c r="CP218" s="179"/>
      <c r="CQ218" s="179"/>
      <c r="CR218" s="179"/>
      <c r="CS218" s="179"/>
      <c r="CT218" s="179"/>
      <c r="CU218" s="179"/>
      <c r="CV218" s="179"/>
      <c r="CW218" s="179"/>
      <c r="CX218" s="179"/>
      <c r="CY218" s="179"/>
      <c r="CZ218" s="179"/>
      <c r="DA218" s="179"/>
      <c r="DB218" s="179"/>
      <c r="DC218" s="179"/>
      <c r="DD218" s="179"/>
      <c r="DE218" s="179"/>
      <c r="DF218" s="179"/>
      <c r="DG218" s="179"/>
      <c r="DH218" s="179"/>
      <c r="DI218" s="179"/>
      <c r="DJ218" s="179"/>
      <c r="DK218" s="179"/>
      <c r="DL218" s="179"/>
      <c r="DM218" s="179"/>
      <c r="DN218" s="179"/>
      <c r="DO218" s="179"/>
      <c r="DP218" s="179"/>
      <c r="DQ218" s="179"/>
      <c r="DR218" s="179"/>
      <c r="DS218" s="179"/>
      <c r="DT218" s="179"/>
      <c r="DU218" s="179"/>
      <c r="DV218" s="179"/>
      <c r="DW218" s="179"/>
      <c r="DX218" s="179"/>
      <c r="DY218" s="179"/>
      <c r="DZ218" s="179"/>
      <c r="EA218" s="179"/>
      <c r="EB218" s="179"/>
      <c r="EC218" s="179"/>
      <c r="ED218" s="179"/>
      <c r="EE218" s="179"/>
      <c r="EF218" s="179"/>
      <c r="EG218" s="179"/>
      <c r="EH218" s="179"/>
      <c r="EI218" s="179"/>
      <c r="EJ218" s="179"/>
      <c r="EK218" s="179"/>
      <c r="EL218" s="179"/>
      <c r="EM218" s="179"/>
      <c r="EN218" s="179"/>
      <c r="EO218" s="179"/>
      <c r="EP218" s="179"/>
      <c r="EQ218" s="179"/>
      <c r="ER218" s="179"/>
      <c r="ES218" s="179"/>
      <c r="ET218" s="179"/>
      <c r="EU218" s="179"/>
      <c r="EV218" s="179"/>
      <c r="EW218" s="179"/>
      <c r="EX218" s="179"/>
      <c r="EY218" s="179"/>
      <c r="EZ218" s="179"/>
      <c r="FA218" s="179"/>
      <c r="FB218" s="179"/>
      <c r="FC218" s="179"/>
      <c r="FD218" s="179"/>
      <c r="FE218" s="179"/>
      <c r="FF218" s="179"/>
      <c r="FG218" s="179"/>
      <c r="FH218" s="179"/>
      <c r="FI218" s="179"/>
      <c r="FJ218" s="179"/>
      <c r="FK218" s="179"/>
      <c r="FL218" s="179"/>
      <c r="FM218" s="179"/>
      <c r="FN218" s="179"/>
      <c r="FO218" s="179"/>
      <c r="FP218" s="179"/>
      <c r="FQ218" s="179"/>
      <c r="FR218" s="179"/>
      <c r="FS218" s="179"/>
      <c r="FT218" s="179"/>
      <c r="FU218" s="179"/>
      <c r="FV218" s="179"/>
      <c r="FW218" s="179"/>
      <c r="FX218" s="179"/>
      <c r="FY218" s="179"/>
      <c r="FZ218" s="179"/>
      <c r="GA218" s="179"/>
      <c r="GB218" s="179"/>
      <c r="GC218" s="179"/>
      <c r="GD218" s="179"/>
      <c r="GE218" s="179"/>
      <c r="GF218" s="179"/>
      <c r="GG218" s="179"/>
      <c r="GH218" s="179"/>
      <c r="GI218" s="179"/>
      <c r="GJ218" s="179"/>
      <c r="GK218" s="179"/>
      <c r="GL218" s="179"/>
      <c r="GM218" s="179"/>
      <c r="GN218" s="179"/>
      <c r="GO218" s="179"/>
      <c r="GP218" s="179"/>
      <c r="GQ218" s="179"/>
      <c r="GR218" s="179"/>
      <c r="GS218" s="179"/>
      <c r="GT218" s="179"/>
      <c r="GU218" s="179"/>
      <c r="GV218" s="179"/>
      <c r="GW218" s="179"/>
      <c r="GX218" s="179"/>
      <c r="GY218" s="179"/>
      <c r="GZ218" s="179"/>
      <c r="HA218" s="179"/>
      <c r="HB218" s="179"/>
      <c r="HC218" s="179"/>
      <c r="HD218" s="179"/>
      <c r="HE218" s="179"/>
      <c r="HF218" s="179"/>
      <c r="HG218" s="179"/>
      <c r="HH218" s="179"/>
      <c r="HI218" s="179"/>
      <c r="HJ218" s="179"/>
      <c r="HK218" s="179"/>
      <c r="HL218" s="179"/>
      <c r="HM218" s="179"/>
      <c r="HN218" s="179"/>
      <c r="HO218" s="179"/>
      <c r="HP218" s="179"/>
      <c r="HQ218" s="179"/>
      <c r="HR218" s="179"/>
      <c r="HS218" s="179"/>
      <c r="HT218" s="179"/>
      <c r="HU218" s="179"/>
      <c r="HV218" s="179"/>
      <c r="HW218" s="179"/>
      <c r="HX218" s="179"/>
      <c r="HY218" s="179"/>
      <c r="HZ218" s="179"/>
      <c r="IA218" s="179"/>
      <c r="IB218" s="179"/>
      <c r="IC218" s="179"/>
      <c r="ID218" s="179"/>
      <c r="IE218" s="179"/>
      <c r="IF218" s="179"/>
      <c r="IG218" s="179"/>
      <c r="IH218" s="179"/>
      <c r="II218" s="179"/>
      <c r="IJ218" s="179"/>
      <c r="IK218" s="179"/>
      <c r="IL218" s="179"/>
      <c r="IM218" s="179"/>
      <c r="IN218" s="179"/>
      <c r="IO218" s="179"/>
      <c r="IP218" s="179"/>
      <c r="IQ218" s="179"/>
    </row>
    <row r="219" spans="1:251">
      <c r="A219" s="325" t="s">
        <v>1603</v>
      </c>
      <c r="B219" s="194">
        <f>(26393.4+6372)*1.5</f>
        <v>49148.100000000006</v>
      </c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179"/>
      <c r="AE219" s="179"/>
      <c r="AF219" s="179"/>
      <c r="AG219" s="179"/>
      <c r="AH219" s="179"/>
      <c r="AI219" s="179"/>
      <c r="AJ219" s="179"/>
      <c r="AK219" s="179"/>
      <c r="AL219" s="179"/>
      <c r="AM219" s="179"/>
      <c r="AN219" s="179"/>
      <c r="AO219" s="179"/>
      <c r="AP219" s="179"/>
      <c r="AQ219" s="179"/>
      <c r="AR219" s="179"/>
      <c r="AS219" s="179"/>
      <c r="AT219" s="179"/>
      <c r="AU219" s="179"/>
      <c r="AV219" s="179"/>
      <c r="AW219" s="179"/>
      <c r="AX219" s="179"/>
      <c r="AY219" s="179"/>
      <c r="AZ219" s="179"/>
      <c r="BA219" s="179"/>
      <c r="BB219" s="179"/>
      <c r="BC219" s="179"/>
      <c r="BD219" s="179"/>
      <c r="BE219" s="179"/>
      <c r="BF219" s="179"/>
      <c r="BG219" s="179"/>
      <c r="BH219" s="179"/>
      <c r="BI219" s="179"/>
      <c r="BJ219" s="179"/>
      <c r="BK219" s="179"/>
      <c r="BL219" s="179"/>
      <c r="BM219" s="179"/>
      <c r="BN219" s="179"/>
      <c r="BO219" s="179"/>
      <c r="BP219" s="179"/>
      <c r="BQ219" s="179"/>
      <c r="BR219" s="179"/>
      <c r="BS219" s="179"/>
      <c r="BT219" s="179"/>
      <c r="BU219" s="179"/>
      <c r="BV219" s="179"/>
      <c r="BW219" s="179"/>
      <c r="BX219" s="179"/>
      <c r="BY219" s="179"/>
      <c r="BZ219" s="179"/>
      <c r="CA219" s="179"/>
      <c r="CB219" s="179"/>
      <c r="CC219" s="179"/>
      <c r="CD219" s="179"/>
      <c r="CE219" s="179"/>
      <c r="CF219" s="179"/>
      <c r="CG219" s="179"/>
      <c r="CH219" s="179"/>
      <c r="CI219" s="179"/>
      <c r="CJ219" s="179"/>
      <c r="CK219" s="179"/>
      <c r="CL219" s="179"/>
      <c r="CM219" s="179"/>
      <c r="CN219" s="179"/>
      <c r="CO219" s="179"/>
      <c r="CP219" s="179"/>
      <c r="CQ219" s="179"/>
      <c r="CR219" s="179"/>
      <c r="CS219" s="179"/>
      <c r="CT219" s="179"/>
      <c r="CU219" s="179"/>
      <c r="CV219" s="179"/>
      <c r="CW219" s="179"/>
      <c r="CX219" s="179"/>
      <c r="CY219" s="179"/>
      <c r="CZ219" s="179"/>
      <c r="DA219" s="179"/>
      <c r="DB219" s="179"/>
      <c r="DC219" s="179"/>
      <c r="DD219" s="179"/>
      <c r="DE219" s="179"/>
      <c r="DF219" s="179"/>
      <c r="DG219" s="179"/>
      <c r="DH219" s="179"/>
      <c r="DI219" s="179"/>
      <c r="DJ219" s="179"/>
      <c r="DK219" s="179"/>
      <c r="DL219" s="179"/>
      <c r="DM219" s="179"/>
      <c r="DN219" s="179"/>
      <c r="DO219" s="179"/>
      <c r="DP219" s="179"/>
      <c r="DQ219" s="179"/>
      <c r="DR219" s="179"/>
      <c r="DS219" s="179"/>
      <c r="DT219" s="179"/>
      <c r="DU219" s="179"/>
      <c r="DV219" s="179"/>
      <c r="DW219" s="179"/>
      <c r="DX219" s="179"/>
      <c r="DY219" s="179"/>
      <c r="DZ219" s="179"/>
      <c r="EA219" s="179"/>
      <c r="EB219" s="179"/>
      <c r="EC219" s="179"/>
      <c r="ED219" s="179"/>
      <c r="EE219" s="179"/>
      <c r="EF219" s="179"/>
      <c r="EG219" s="179"/>
      <c r="EH219" s="179"/>
      <c r="EI219" s="179"/>
      <c r="EJ219" s="179"/>
      <c r="EK219" s="179"/>
      <c r="EL219" s="179"/>
      <c r="EM219" s="179"/>
      <c r="EN219" s="179"/>
      <c r="EO219" s="179"/>
      <c r="EP219" s="179"/>
      <c r="EQ219" s="179"/>
      <c r="ER219" s="179"/>
      <c r="ES219" s="179"/>
      <c r="ET219" s="179"/>
      <c r="EU219" s="179"/>
      <c r="EV219" s="179"/>
      <c r="EW219" s="179"/>
      <c r="EX219" s="179"/>
      <c r="EY219" s="179"/>
      <c r="EZ219" s="179"/>
      <c r="FA219" s="179"/>
      <c r="FB219" s="179"/>
      <c r="FC219" s="179"/>
      <c r="FD219" s="179"/>
      <c r="FE219" s="179"/>
      <c r="FF219" s="179"/>
      <c r="FG219" s="179"/>
      <c r="FH219" s="179"/>
      <c r="FI219" s="179"/>
      <c r="FJ219" s="179"/>
      <c r="FK219" s="179"/>
      <c r="FL219" s="179"/>
      <c r="FM219" s="179"/>
      <c r="FN219" s="179"/>
      <c r="FO219" s="179"/>
      <c r="FP219" s="179"/>
      <c r="FQ219" s="179"/>
      <c r="FR219" s="179"/>
      <c r="FS219" s="179"/>
      <c r="FT219" s="179"/>
      <c r="FU219" s="179"/>
      <c r="FV219" s="179"/>
      <c r="FW219" s="179"/>
      <c r="FX219" s="179"/>
      <c r="FY219" s="179"/>
      <c r="FZ219" s="179"/>
      <c r="GA219" s="179"/>
      <c r="GB219" s="179"/>
      <c r="GC219" s="179"/>
      <c r="GD219" s="179"/>
      <c r="GE219" s="179"/>
      <c r="GF219" s="179"/>
      <c r="GG219" s="179"/>
      <c r="GH219" s="179"/>
      <c r="GI219" s="179"/>
      <c r="GJ219" s="179"/>
      <c r="GK219" s="179"/>
      <c r="GL219" s="179"/>
      <c r="GM219" s="179"/>
      <c r="GN219" s="179"/>
      <c r="GO219" s="179"/>
      <c r="GP219" s="179"/>
      <c r="GQ219" s="179"/>
      <c r="GR219" s="179"/>
      <c r="GS219" s="179"/>
      <c r="GT219" s="179"/>
      <c r="GU219" s="179"/>
      <c r="GV219" s="179"/>
      <c r="GW219" s="179"/>
      <c r="GX219" s="179"/>
      <c r="GY219" s="179"/>
      <c r="GZ219" s="179"/>
      <c r="HA219" s="179"/>
      <c r="HB219" s="179"/>
      <c r="HC219" s="179"/>
      <c r="HD219" s="179"/>
      <c r="HE219" s="179"/>
      <c r="HF219" s="179"/>
      <c r="HG219" s="179"/>
      <c r="HH219" s="179"/>
      <c r="HI219" s="179"/>
      <c r="HJ219" s="179"/>
      <c r="HK219" s="179"/>
      <c r="HL219" s="179"/>
      <c r="HM219" s="179"/>
      <c r="HN219" s="179"/>
      <c r="HO219" s="179"/>
      <c r="HP219" s="179"/>
      <c r="HQ219" s="179"/>
      <c r="HR219" s="179"/>
      <c r="HS219" s="179"/>
      <c r="HT219" s="179"/>
      <c r="HU219" s="179"/>
      <c r="HV219" s="179"/>
      <c r="HW219" s="179"/>
      <c r="HX219" s="179"/>
      <c r="HY219" s="179"/>
      <c r="HZ219" s="179"/>
      <c r="IA219" s="179"/>
      <c r="IB219" s="179"/>
      <c r="IC219" s="179"/>
      <c r="ID219" s="179"/>
      <c r="IE219" s="179"/>
      <c r="IF219" s="179"/>
      <c r="IG219" s="179"/>
      <c r="IH219" s="179"/>
      <c r="II219" s="179"/>
      <c r="IJ219" s="179"/>
      <c r="IK219" s="179"/>
      <c r="IL219" s="179"/>
      <c r="IM219" s="179"/>
      <c r="IN219" s="179"/>
      <c r="IO219" s="179"/>
      <c r="IP219" s="179"/>
      <c r="IQ219" s="179"/>
    </row>
    <row r="220" spans="1:251">
      <c r="A220" s="325" t="s">
        <v>724</v>
      </c>
      <c r="B220" s="194">
        <f>13274.64*1.5</f>
        <v>19911.96</v>
      </c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79"/>
      <c r="BA220" s="179"/>
      <c r="BB220" s="179"/>
      <c r="BC220" s="179"/>
      <c r="BD220" s="179"/>
      <c r="BE220" s="179"/>
      <c r="BF220" s="179"/>
      <c r="BG220" s="179"/>
      <c r="BH220" s="179"/>
      <c r="BI220" s="179"/>
      <c r="BJ220" s="179"/>
      <c r="BK220" s="179"/>
      <c r="BL220" s="179"/>
      <c r="BM220" s="179"/>
      <c r="BN220" s="179"/>
      <c r="BO220" s="179"/>
      <c r="BP220" s="179"/>
      <c r="BQ220" s="179"/>
      <c r="BR220" s="179"/>
      <c r="BS220" s="179"/>
      <c r="BT220" s="179"/>
      <c r="BU220" s="179"/>
      <c r="BV220" s="179"/>
      <c r="BW220" s="179"/>
      <c r="BX220" s="179"/>
      <c r="BY220" s="179"/>
      <c r="BZ220" s="179"/>
      <c r="CA220" s="179"/>
      <c r="CB220" s="179"/>
      <c r="CC220" s="179"/>
      <c r="CD220" s="179"/>
      <c r="CE220" s="179"/>
      <c r="CF220" s="179"/>
      <c r="CG220" s="179"/>
      <c r="CH220" s="179"/>
      <c r="CI220" s="179"/>
      <c r="CJ220" s="179"/>
      <c r="CK220" s="179"/>
      <c r="CL220" s="179"/>
      <c r="CM220" s="179"/>
      <c r="CN220" s="179"/>
      <c r="CO220" s="179"/>
      <c r="CP220" s="179"/>
      <c r="CQ220" s="179"/>
      <c r="CR220" s="179"/>
      <c r="CS220" s="179"/>
      <c r="CT220" s="179"/>
      <c r="CU220" s="179"/>
      <c r="CV220" s="179"/>
      <c r="CW220" s="179"/>
      <c r="CX220" s="179"/>
      <c r="CY220" s="179"/>
      <c r="CZ220" s="179"/>
      <c r="DA220" s="179"/>
      <c r="DB220" s="179"/>
      <c r="DC220" s="179"/>
      <c r="DD220" s="179"/>
      <c r="DE220" s="179"/>
      <c r="DF220" s="179"/>
      <c r="DG220" s="179"/>
      <c r="DH220" s="179"/>
      <c r="DI220" s="179"/>
      <c r="DJ220" s="179"/>
      <c r="DK220" s="179"/>
      <c r="DL220" s="179"/>
      <c r="DM220" s="179"/>
      <c r="DN220" s="179"/>
      <c r="DO220" s="179"/>
      <c r="DP220" s="179"/>
      <c r="DQ220" s="179"/>
      <c r="DR220" s="179"/>
      <c r="DS220" s="179"/>
      <c r="DT220" s="179"/>
      <c r="DU220" s="179"/>
      <c r="DV220" s="179"/>
      <c r="DW220" s="179"/>
      <c r="DX220" s="179"/>
      <c r="DY220" s="179"/>
      <c r="DZ220" s="179"/>
      <c r="EA220" s="179"/>
      <c r="EB220" s="179"/>
      <c r="EC220" s="179"/>
      <c r="ED220" s="179"/>
      <c r="EE220" s="179"/>
      <c r="EF220" s="179"/>
      <c r="EG220" s="179"/>
      <c r="EH220" s="179"/>
      <c r="EI220" s="179"/>
      <c r="EJ220" s="179"/>
      <c r="EK220" s="179"/>
      <c r="EL220" s="179"/>
      <c r="EM220" s="179"/>
      <c r="EN220" s="179"/>
      <c r="EO220" s="179"/>
      <c r="EP220" s="179"/>
      <c r="EQ220" s="179"/>
      <c r="ER220" s="179"/>
      <c r="ES220" s="179"/>
      <c r="ET220" s="179"/>
      <c r="EU220" s="179"/>
      <c r="EV220" s="179"/>
      <c r="EW220" s="179"/>
      <c r="EX220" s="179"/>
      <c r="EY220" s="179"/>
      <c r="EZ220" s="179"/>
      <c r="FA220" s="179"/>
      <c r="FB220" s="179"/>
      <c r="FC220" s="179"/>
      <c r="FD220" s="179"/>
      <c r="FE220" s="179"/>
      <c r="FF220" s="179"/>
      <c r="FG220" s="179"/>
      <c r="FH220" s="179"/>
      <c r="FI220" s="179"/>
      <c r="FJ220" s="179"/>
      <c r="FK220" s="179"/>
      <c r="FL220" s="179"/>
      <c r="FM220" s="179"/>
      <c r="FN220" s="179"/>
      <c r="FO220" s="179"/>
      <c r="FP220" s="179"/>
      <c r="FQ220" s="179"/>
      <c r="FR220" s="179"/>
      <c r="FS220" s="179"/>
      <c r="FT220" s="179"/>
      <c r="FU220" s="179"/>
      <c r="FV220" s="179"/>
      <c r="FW220" s="179"/>
      <c r="FX220" s="179"/>
      <c r="FY220" s="179"/>
      <c r="FZ220" s="179"/>
      <c r="GA220" s="179"/>
      <c r="GB220" s="179"/>
      <c r="GC220" s="179"/>
      <c r="GD220" s="179"/>
      <c r="GE220" s="179"/>
      <c r="GF220" s="179"/>
      <c r="GG220" s="179"/>
      <c r="GH220" s="179"/>
      <c r="GI220" s="179"/>
      <c r="GJ220" s="179"/>
      <c r="GK220" s="179"/>
      <c r="GL220" s="179"/>
      <c r="GM220" s="179"/>
      <c r="GN220" s="179"/>
      <c r="GO220" s="179"/>
      <c r="GP220" s="179"/>
      <c r="GQ220" s="179"/>
      <c r="GR220" s="179"/>
      <c r="GS220" s="179"/>
      <c r="GT220" s="179"/>
      <c r="GU220" s="179"/>
      <c r="GV220" s="179"/>
      <c r="GW220" s="179"/>
      <c r="GX220" s="179"/>
      <c r="GY220" s="179"/>
      <c r="GZ220" s="179"/>
      <c r="HA220" s="179"/>
      <c r="HB220" s="179"/>
      <c r="HC220" s="179"/>
      <c r="HD220" s="179"/>
      <c r="HE220" s="179"/>
      <c r="HF220" s="179"/>
      <c r="HG220" s="179"/>
      <c r="HH220" s="179"/>
      <c r="HI220" s="179"/>
      <c r="HJ220" s="179"/>
      <c r="HK220" s="179"/>
      <c r="HL220" s="179"/>
      <c r="HM220" s="179"/>
      <c r="HN220" s="179"/>
      <c r="HO220" s="179"/>
      <c r="HP220" s="179"/>
      <c r="HQ220" s="179"/>
      <c r="HR220" s="179"/>
      <c r="HS220" s="179"/>
      <c r="HT220" s="179"/>
      <c r="HU220" s="179"/>
      <c r="HV220" s="179"/>
      <c r="HW220" s="179"/>
      <c r="HX220" s="179"/>
      <c r="HY220" s="179"/>
      <c r="HZ220" s="179"/>
      <c r="IA220" s="179"/>
      <c r="IB220" s="179"/>
      <c r="IC220" s="179"/>
      <c r="ID220" s="179"/>
      <c r="IE220" s="179"/>
      <c r="IF220" s="179"/>
      <c r="IG220" s="179"/>
      <c r="IH220" s="179"/>
      <c r="II220" s="179"/>
      <c r="IJ220" s="179"/>
      <c r="IK220" s="179"/>
      <c r="IL220" s="179"/>
      <c r="IM220" s="179"/>
      <c r="IN220" s="179"/>
      <c r="IO220" s="179"/>
      <c r="IP220" s="179"/>
      <c r="IQ220" s="179"/>
    </row>
    <row r="221" spans="1:251">
      <c r="A221" s="325" t="s">
        <v>3821</v>
      </c>
      <c r="B221" s="194">
        <f>2300*12</f>
        <v>27600</v>
      </c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79"/>
      <c r="AE221" s="179"/>
      <c r="AF221" s="179"/>
      <c r="AG221" s="179"/>
      <c r="AH221" s="179"/>
      <c r="AI221" s="179"/>
      <c r="AJ221" s="179"/>
      <c r="AK221" s="179"/>
      <c r="AL221" s="179"/>
      <c r="AM221" s="179"/>
      <c r="AN221" s="179"/>
      <c r="AO221" s="179"/>
      <c r="AP221" s="179"/>
      <c r="AQ221" s="179"/>
      <c r="AR221" s="179"/>
      <c r="AS221" s="179"/>
      <c r="AT221" s="179"/>
      <c r="AU221" s="179"/>
      <c r="AV221" s="179"/>
      <c r="AW221" s="179"/>
      <c r="AX221" s="179"/>
      <c r="AY221" s="179"/>
      <c r="AZ221" s="179"/>
      <c r="BA221" s="179"/>
      <c r="BB221" s="179"/>
      <c r="BC221" s="179"/>
      <c r="BD221" s="179"/>
      <c r="BE221" s="179"/>
      <c r="BF221" s="179"/>
      <c r="BG221" s="179"/>
      <c r="BH221" s="179"/>
      <c r="BI221" s="179"/>
      <c r="BJ221" s="179"/>
      <c r="BK221" s="179"/>
      <c r="BL221" s="179"/>
      <c r="BM221" s="179"/>
      <c r="BN221" s="179"/>
      <c r="BO221" s="179"/>
      <c r="BP221" s="179"/>
      <c r="BQ221" s="179"/>
      <c r="BR221" s="179"/>
      <c r="BS221" s="179"/>
      <c r="BT221" s="179"/>
      <c r="BU221" s="179"/>
      <c r="BV221" s="179"/>
      <c r="BW221" s="179"/>
      <c r="BX221" s="179"/>
      <c r="BY221" s="179"/>
      <c r="BZ221" s="179"/>
      <c r="CA221" s="179"/>
      <c r="CB221" s="179"/>
      <c r="CC221" s="179"/>
      <c r="CD221" s="179"/>
      <c r="CE221" s="179"/>
      <c r="CF221" s="179"/>
      <c r="CG221" s="179"/>
      <c r="CH221" s="179"/>
      <c r="CI221" s="179"/>
      <c r="CJ221" s="179"/>
      <c r="CK221" s="179"/>
      <c r="CL221" s="179"/>
      <c r="CM221" s="179"/>
      <c r="CN221" s="179"/>
      <c r="CO221" s="179"/>
      <c r="CP221" s="179"/>
      <c r="CQ221" s="179"/>
      <c r="CR221" s="179"/>
      <c r="CS221" s="179"/>
      <c r="CT221" s="179"/>
      <c r="CU221" s="179"/>
      <c r="CV221" s="179"/>
      <c r="CW221" s="179"/>
      <c r="CX221" s="179"/>
      <c r="CY221" s="179"/>
      <c r="CZ221" s="179"/>
      <c r="DA221" s="179"/>
      <c r="DB221" s="179"/>
      <c r="DC221" s="179"/>
      <c r="DD221" s="179"/>
      <c r="DE221" s="179"/>
      <c r="DF221" s="179"/>
      <c r="DG221" s="179"/>
      <c r="DH221" s="179"/>
      <c r="DI221" s="179"/>
      <c r="DJ221" s="179"/>
      <c r="DK221" s="179"/>
      <c r="DL221" s="179"/>
      <c r="DM221" s="179"/>
      <c r="DN221" s="179"/>
      <c r="DO221" s="179"/>
      <c r="DP221" s="179"/>
      <c r="DQ221" s="179"/>
      <c r="DR221" s="179"/>
      <c r="DS221" s="179"/>
      <c r="DT221" s="179"/>
      <c r="DU221" s="179"/>
      <c r="DV221" s="179"/>
      <c r="DW221" s="179"/>
      <c r="DX221" s="179"/>
      <c r="DY221" s="179"/>
      <c r="DZ221" s="179"/>
      <c r="EA221" s="179"/>
      <c r="EB221" s="179"/>
      <c r="EC221" s="179"/>
      <c r="ED221" s="179"/>
      <c r="EE221" s="179"/>
      <c r="EF221" s="179"/>
      <c r="EG221" s="179"/>
      <c r="EH221" s="179"/>
      <c r="EI221" s="179"/>
      <c r="EJ221" s="179"/>
      <c r="EK221" s="179"/>
      <c r="EL221" s="179"/>
      <c r="EM221" s="179"/>
      <c r="EN221" s="179"/>
      <c r="EO221" s="179"/>
      <c r="EP221" s="179"/>
      <c r="EQ221" s="179"/>
      <c r="ER221" s="179"/>
      <c r="ES221" s="179"/>
      <c r="ET221" s="179"/>
      <c r="EU221" s="179"/>
      <c r="EV221" s="179"/>
      <c r="EW221" s="179"/>
      <c r="EX221" s="179"/>
      <c r="EY221" s="179"/>
      <c r="EZ221" s="179"/>
      <c r="FA221" s="179"/>
      <c r="FB221" s="179"/>
      <c r="FC221" s="179"/>
      <c r="FD221" s="179"/>
      <c r="FE221" s="179"/>
      <c r="FF221" s="179"/>
      <c r="FG221" s="179"/>
      <c r="FH221" s="179"/>
      <c r="FI221" s="179"/>
      <c r="FJ221" s="179"/>
      <c r="FK221" s="179"/>
      <c r="FL221" s="179"/>
      <c r="FM221" s="179"/>
      <c r="FN221" s="179"/>
      <c r="FO221" s="179"/>
      <c r="FP221" s="179"/>
      <c r="FQ221" s="179"/>
      <c r="FR221" s="179"/>
      <c r="FS221" s="179"/>
      <c r="FT221" s="179"/>
      <c r="FU221" s="179"/>
      <c r="FV221" s="179"/>
      <c r="FW221" s="179"/>
      <c r="FX221" s="179"/>
      <c r="FY221" s="179"/>
      <c r="FZ221" s="179"/>
      <c r="GA221" s="179"/>
      <c r="GB221" s="179"/>
      <c r="GC221" s="179"/>
      <c r="GD221" s="179"/>
      <c r="GE221" s="179"/>
      <c r="GF221" s="179"/>
      <c r="GG221" s="179"/>
      <c r="GH221" s="179"/>
      <c r="GI221" s="179"/>
      <c r="GJ221" s="179"/>
      <c r="GK221" s="179"/>
      <c r="GL221" s="179"/>
      <c r="GM221" s="179"/>
      <c r="GN221" s="179"/>
      <c r="GO221" s="179"/>
      <c r="GP221" s="179"/>
      <c r="GQ221" s="179"/>
      <c r="GR221" s="179"/>
      <c r="GS221" s="179"/>
      <c r="GT221" s="179"/>
      <c r="GU221" s="179"/>
      <c r="GV221" s="179"/>
      <c r="GW221" s="179"/>
      <c r="GX221" s="179"/>
      <c r="GY221" s="179"/>
      <c r="GZ221" s="179"/>
      <c r="HA221" s="179"/>
      <c r="HB221" s="179"/>
      <c r="HC221" s="179"/>
      <c r="HD221" s="179"/>
      <c r="HE221" s="179"/>
      <c r="HF221" s="179"/>
      <c r="HG221" s="179"/>
      <c r="HH221" s="179"/>
      <c r="HI221" s="179"/>
      <c r="HJ221" s="179"/>
      <c r="HK221" s="179"/>
      <c r="HL221" s="179"/>
      <c r="HM221" s="179"/>
      <c r="HN221" s="179"/>
      <c r="HO221" s="179"/>
      <c r="HP221" s="179"/>
      <c r="HQ221" s="179"/>
      <c r="HR221" s="179"/>
      <c r="HS221" s="179"/>
      <c r="HT221" s="179"/>
      <c r="HU221" s="179"/>
      <c r="HV221" s="179"/>
      <c r="HW221" s="179"/>
      <c r="HX221" s="179"/>
      <c r="HY221" s="179"/>
      <c r="HZ221" s="179"/>
      <c r="IA221" s="179"/>
      <c r="IB221" s="179"/>
      <c r="IC221" s="179"/>
      <c r="ID221" s="179"/>
      <c r="IE221" s="179"/>
      <c r="IF221" s="179"/>
      <c r="IG221" s="179"/>
      <c r="IH221" s="179"/>
      <c r="II221" s="179"/>
      <c r="IJ221" s="179"/>
      <c r="IK221" s="179"/>
      <c r="IL221" s="179"/>
      <c r="IM221" s="179"/>
      <c r="IN221" s="179"/>
      <c r="IO221" s="179"/>
      <c r="IP221" s="179"/>
      <c r="IQ221" s="179"/>
    </row>
    <row r="222" spans="1:251">
      <c r="A222" s="325" t="s">
        <v>1599</v>
      </c>
      <c r="B222" s="194">
        <v>226374.38</v>
      </c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79"/>
      <c r="AT222" s="179"/>
      <c r="AU222" s="179"/>
      <c r="AV222" s="179"/>
      <c r="AW222" s="179"/>
      <c r="AX222" s="179"/>
      <c r="AY222" s="179"/>
      <c r="AZ222" s="179"/>
      <c r="BA222" s="179"/>
      <c r="BB222" s="179"/>
      <c r="BC222" s="179"/>
      <c r="BD222" s="179"/>
      <c r="BE222" s="179"/>
      <c r="BF222" s="179"/>
      <c r="BG222" s="179"/>
      <c r="BH222" s="179"/>
      <c r="BI222" s="179"/>
      <c r="BJ222" s="179"/>
      <c r="BK222" s="179"/>
      <c r="BL222" s="179"/>
      <c r="BM222" s="179"/>
      <c r="BN222" s="179"/>
      <c r="BO222" s="179"/>
      <c r="BP222" s="179"/>
      <c r="BQ222" s="179"/>
      <c r="BR222" s="179"/>
      <c r="BS222" s="179"/>
      <c r="BT222" s="179"/>
      <c r="BU222" s="179"/>
      <c r="BV222" s="179"/>
      <c r="BW222" s="179"/>
      <c r="BX222" s="179"/>
      <c r="BY222" s="179"/>
      <c r="BZ222" s="179"/>
      <c r="CA222" s="179"/>
      <c r="CB222" s="179"/>
      <c r="CC222" s="179"/>
      <c r="CD222" s="179"/>
      <c r="CE222" s="179"/>
      <c r="CF222" s="179"/>
      <c r="CG222" s="179"/>
      <c r="CH222" s="179"/>
      <c r="CI222" s="179"/>
      <c r="CJ222" s="179"/>
      <c r="CK222" s="179"/>
      <c r="CL222" s="179"/>
      <c r="CM222" s="179"/>
      <c r="CN222" s="179"/>
      <c r="CO222" s="179"/>
      <c r="CP222" s="179"/>
      <c r="CQ222" s="179"/>
      <c r="CR222" s="179"/>
      <c r="CS222" s="179"/>
      <c r="CT222" s="179"/>
      <c r="CU222" s="179"/>
      <c r="CV222" s="179"/>
      <c r="CW222" s="179"/>
      <c r="CX222" s="179"/>
      <c r="CY222" s="179"/>
      <c r="CZ222" s="179"/>
      <c r="DA222" s="179"/>
      <c r="DB222" s="179"/>
      <c r="DC222" s="179"/>
      <c r="DD222" s="179"/>
      <c r="DE222" s="179"/>
      <c r="DF222" s="179"/>
      <c r="DG222" s="179"/>
      <c r="DH222" s="179"/>
      <c r="DI222" s="179"/>
      <c r="DJ222" s="179"/>
      <c r="DK222" s="179"/>
      <c r="DL222" s="179"/>
      <c r="DM222" s="179"/>
      <c r="DN222" s="179"/>
      <c r="DO222" s="179"/>
      <c r="DP222" s="179"/>
      <c r="DQ222" s="179"/>
      <c r="DR222" s="179"/>
      <c r="DS222" s="179"/>
      <c r="DT222" s="179"/>
      <c r="DU222" s="179"/>
      <c r="DV222" s="179"/>
      <c r="DW222" s="179"/>
      <c r="DX222" s="179"/>
      <c r="DY222" s="179"/>
      <c r="DZ222" s="179"/>
      <c r="EA222" s="179"/>
      <c r="EB222" s="179"/>
      <c r="EC222" s="179"/>
      <c r="ED222" s="179"/>
      <c r="EE222" s="179"/>
      <c r="EF222" s="179"/>
      <c r="EG222" s="179"/>
      <c r="EH222" s="179"/>
      <c r="EI222" s="179"/>
      <c r="EJ222" s="179"/>
      <c r="EK222" s="179"/>
      <c r="EL222" s="179"/>
      <c r="EM222" s="179"/>
      <c r="EN222" s="179"/>
      <c r="EO222" s="179"/>
      <c r="EP222" s="179"/>
      <c r="EQ222" s="179"/>
      <c r="ER222" s="179"/>
      <c r="ES222" s="179"/>
      <c r="ET222" s="179"/>
      <c r="EU222" s="179"/>
      <c r="EV222" s="179"/>
      <c r="EW222" s="179"/>
      <c r="EX222" s="179"/>
      <c r="EY222" s="179"/>
      <c r="EZ222" s="179"/>
      <c r="FA222" s="179"/>
      <c r="FB222" s="179"/>
      <c r="FC222" s="179"/>
      <c r="FD222" s="179"/>
      <c r="FE222" s="179"/>
      <c r="FF222" s="179"/>
      <c r="FG222" s="179"/>
      <c r="FH222" s="179"/>
      <c r="FI222" s="179"/>
      <c r="FJ222" s="179"/>
      <c r="FK222" s="179"/>
      <c r="FL222" s="179"/>
      <c r="FM222" s="179"/>
      <c r="FN222" s="179"/>
      <c r="FO222" s="179"/>
      <c r="FP222" s="179"/>
      <c r="FQ222" s="179"/>
      <c r="FR222" s="179"/>
      <c r="FS222" s="179"/>
      <c r="FT222" s="179"/>
      <c r="FU222" s="179"/>
      <c r="FV222" s="179"/>
      <c r="FW222" s="179"/>
      <c r="FX222" s="179"/>
      <c r="FY222" s="179"/>
      <c r="FZ222" s="179"/>
      <c r="GA222" s="179"/>
      <c r="GB222" s="179"/>
      <c r="GC222" s="179"/>
      <c r="GD222" s="179"/>
      <c r="GE222" s="179"/>
      <c r="GF222" s="179"/>
      <c r="GG222" s="179"/>
      <c r="GH222" s="179"/>
      <c r="GI222" s="179"/>
      <c r="GJ222" s="179"/>
      <c r="GK222" s="179"/>
      <c r="GL222" s="179"/>
      <c r="GM222" s="179"/>
      <c r="GN222" s="179"/>
      <c r="GO222" s="179"/>
      <c r="GP222" s="179"/>
      <c r="GQ222" s="179"/>
      <c r="GR222" s="179"/>
      <c r="GS222" s="179"/>
      <c r="GT222" s="179"/>
      <c r="GU222" s="179"/>
      <c r="GV222" s="179"/>
      <c r="GW222" s="179"/>
      <c r="GX222" s="179"/>
      <c r="GY222" s="179"/>
      <c r="GZ222" s="179"/>
      <c r="HA222" s="179"/>
      <c r="HB222" s="179"/>
      <c r="HC222" s="179"/>
      <c r="HD222" s="179"/>
      <c r="HE222" s="179"/>
      <c r="HF222" s="179"/>
      <c r="HG222" s="179"/>
      <c r="HH222" s="179"/>
      <c r="HI222" s="179"/>
      <c r="HJ222" s="179"/>
      <c r="HK222" s="179"/>
      <c r="HL222" s="179"/>
      <c r="HM222" s="179"/>
      <c r="HN222" s="179"/>
      <c r="HO222" s="179"/>
      <c r="HP222" s="179"/>
      <c r="HQ222" s="179"/>
      <c r="HR222" s="179"/>
      <c r="HS222" s="179"/>
      <c r="HT222" s="179"/>
      <c r="HU222" s="179"/>
      <c r="HV222" s="179"/>
      <c r="HW222" s="179"/>
      <c r="HX222" s="179"/>
      <c r="HY222" s="179"/>
      <c r="HZ222" s="179"/>
      <c r="IA222" s="179"/>
      <c r="IB222" s="179"/>
      <c r="IC222" s="179"/>
      <c r="ID222" s="179"/>
      <c r="IE222" s="179"/>
      <c r="IF222" s="179"/>
      <c r="IG222" s="179"/>
      <c r="IH222" s="179"/>
      <c r="II222" s="179"/>
      <c r="IJ222" s="179"/>
      <c r="IK222" s="179"/>
      <c r="IL222" s="179"/>
      <c r="IM222" s="179"/>
      <c r="IN222" s="179"/>
      <c r="IO222" s="179"/>
      <c r="IP222" s="179"/>
      <c r="IQ222" s="179"/>
    </row>
    <row r="223" spans="1:251" s="75" customFormat="1">
      <c r="A223" s="542" t="s">
        <v>2600</v>
      </c>
      <c r="B223" s="194">
        <f>B207-B209-B222</f>
        <v>-293608.42307631415</v>
      </c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  <c r="AO223" s="197"/>
      <c r="AP223" s="197"/>
      <c r="AQ223" s="197"/>
      <c r="AR223" s="197"/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7"/>
      <c r="BD223" s="197"/>
      <c r="BE223" s="197"/>
      <c r="BF223" s="197"/>
      <c r="BG223" s="197"/>
      <c r="BH223" s="197"/>
      <c r="BI223" s="197"/>
      <c r="BJ223" s="197"/>
      <c r="BK223" s="197"/>
      <c r="BL223" s="197"/>
      <c r="BM223" s="197"/>
      <c r="BN223" s="197"/>
      <c r="BO223" s="197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  <c r="EG223" s="197"/>
      <c r="EH223" s="197"/>
      <c r="EI223" s="197"/>
      <c r="EJ223" s="197"/>
      <c r="EK223" s="197"/>
      <c r="EL223" s="197"/>
      <c r="EM223" s="197"/>
      <c r="EN223" s="197"/>
      <c r="EO223" s="197"/>
      <c r="EP223" s="197"/>
      <c r="EQ223" s="197"/>
      <c r="ER223" s="197"/>
      <c r="ES223" s="197"/>
      <c r="ET223" s="197"/>
      <c r="EU223" s="197"/>
      <c r="EV223" s="197"/>
      <c r="EW223" s="197"/>
      <c r="EX223" s="197"/>
      <c r="EY223" s="197"/>
      <c r="EZ223" s="197"/>
      <c r="FA223" s="197"/>
      <c r="FB223" s="197"/>
      <c r="FC223" s="197"/>
      <c r="FD223" s="197"/>
      <c r="FE223" s="197"/>
      <c r="FF223" s="197"/>
      <c r="FG223" s="197"/>
      <c r="FH223" s="197"/>
      <c r="FI223" s="197"/>
      <c r="FJ223" s="197"/>
      <c r="FK223" s="197"/>
      <c r="FL223" s="197"/>
      <c r="FM223" s="197"/>
      <c r="FN223" s="197"/>
      <c r="FO223" s="197"/>
      <c r="FP223" s="197"/>
      <c r="FQ223" s="197"/>
      <c r="FR223" s="197"/>
      <c r="FS223" s="197"/>
      <c r="FT223" s="197"/>
      <c r="FU223" s="197"/>
      <c r="FV223" s="197"/>
      <c r="FW223" s="197"/>
      <c r="FX223" s="197"/>
      <c r="FY223" s="197"/>
      <c r="FZ223" s="197"/>
      <c r="GA223" s="197"/>
      <c r="GB223" s="197"/>
      <c r="GC223" s="197"/>
      <c r="GD223" s="197"/>
      <c r="GE223" s="197"/>
      <c r="GF223" s="197"/>
      <c r="GG223" s="197"/>
      <c r="GH223" s="197"/>
      <c r="GI223" s="197"/>
      <c r="GJ223" s="197"/>
      <c r="GK223" s="197"/>
      <c r="GL223" s="197"/>
      <c r="GM223" s="197"/>
      <c r="GN223" s="197"/>
      <c r="GO223" s="197"/>
      <c r="GP223" s="197"/>
      <c r="GQ223" s="197"/>
      <c r="GR223" s="197"/>
      <c r="GS223" s="197"/>
      <c r="GT223" s="197"/>
      <c r="GU223" s="197"/>
      <c r="GV223" s="197"/>
      <c r="GW223" s="197"/>
      <c r="GX223" s="197"/>
      <c r="GY223" s="197"/>
      <c r="GZ223" s="197"/>
      <c r="HA223" s="197"/>
      <c r="HB223" s="197"/>
      <c r="HC223" s="197"/>
      <c r="HD223" s="197"/>
      <c r="HE223" s="197"/>
      <c r="HF223" s="197"/>
      <c r="HG223" s="197"/>
      <c r="HH223" s="197"/>
      <c r="HI223" s="197"/>
      <c r="HJ223" s="197"/>
      <c r="HK223" s="197"/>
      <c r="HL223" s="197"/>
      <c r="HM223" s="197"/>
      <c r="HN223" s="197"/>
      <c r="HO223" s="197"/>
      <c r="HP223" s="197"/>
      <c r="HQ223" s="197"/>
      <c r="HR223" s="197"/>
      <c r="HS223" s="197"/>
      <c r="HT223" s="197"/>
      <c r="HU223" s="197"/>
      <c r="HV223" s="197"/>
      <c r="HW223" s="197"/>
      <c r="HX223" s="197"/>
      <c r="HY223" s="197"/>
      <c r="HZ223" s="197"/>
      <c r="IA223" s="197"/>
      <c r="IB223" s="197"/>
      <c r="IC223" s="197"/>
      <c r="ID223" s="197"/>
      <c r="IE223" s="197"/>
      <c r="IF223" s="197"/>
      <c r="IG223" s="197"/>
      <c r="IH223" s="197"/>
      <c r="II223" s="197"/>
      <c r="IJ223" s="197"/>
      <c r="IK223" s="197"/>
      <c r="IL223" s="197"/>
      <c r="IM223" s="197"/>
      <c r="IN223" s="197"/>
    </row>
    <row r="224" spans="1:251" s="75" customFormat="1">
      <c r="A224" s="567"/>
      <c r="B224" s="568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  <c r="EG224" s="197"/>
      <c r="EH224" s="197"/>
      <c r="EI224" s="197"/>
      <c r="EJ224" s="197"/>
      <c r="EK224" s="197"/>
      <c r="EL224" s="197"/>
      <c r="EM224" s="197"/>
      <c r="EN224" s="197"/>
      <c r="EO224" s="197"/>
      <c r="EP224" s="197"/>
      <c r="EQ224" s="197"/>
      <c r="ER224" s="197"/>
      <c r="ES224" s="197"/>
      <c r="ET224" s="197"/>
      <c r="EU224" s="197"/>
      <c r="EV224" s="197"/>
      <c r="EW224" s="197"/>
      <c r="EX224" s="197"/>
      <c r="EY224" s="197"/>
      <c r="EZ224" s="197"/>
      <c r="FA224" s="197"/>
      <c r="FB224" s="197"/>
      <c r="FC224" s="197"/>
      <c r="FD224" s="197"/>
      <c r="FE224" s="197"/>
      <c r="FF224" s="197"/>
      <c r="FG224" s="197"/>
      <c r="FH224" s="197"/>
      <c r="FI224" s="197"/>
      <c r="FJ224" s="197"/>
      <c r="FK224" s="197"/>
      <c r="FL224" s="197"/>
      <c r="FM224" s="197"/>
      <c r="FN224" s="197"/>
      <c r="FO224" s="197"/>
      <c r="FP224" s="197"/>
      <c r="FQ224" s="197"/>
      <c r="FR224" s="197"/>
      <c r="FS224" s="197"/>
      <c r="FT224" s="197"/>
      <c r="FU224" s="197"/>
      <c r="FV224" s="197"/>
      <c r="FW224" s="197"/>
      <c r="FX224" s="197"/>
      <c r="FY224" s="197"/>
      <c r="FZ224" s="197"/>
      <c r="GA224" s="197"/>
      <c r="GB224" s="197"/>
      <c r="GC224" s="197"/>
      <c r="GD224" s="197"/>
      <c r="GE224" s="197"/>
      <c r="GF224" s="197"/>
      <c r="GG224" s="197"/>
      <c r="GH224" s="197"/>
      <c r="GI224" s="197"/>
      <c r="GJ224" s="197"/>
      <c r="GK224" s="197"/>
      <c r="GL224" s="197"/>
      <c r="GM224" s="197"/>
      <c r="GN224" s="197"/>
      <c r="GO224" s="197"/>
      <c r="GP224" s="197"/>
      <c r="GQ224" s="197"/>
      <c r="GR224" s="197"/>
      <c r="GS224" s="197"/>
      <c r="GT224" s="197"/>
      <c r="GU224" s="197"/>
      <c r="GV224" s="197"/>
      <c r="GW224" s="197"/>
      <c r="GX224" s="197"/>
      <c r="GY224" s="197"/>
      <c r="GZ224" s="197"/>
      <c r="HA224" s="197"/>
      <c r="HB224" s="197"/>
      <c r="HC224" s="197"/>
      <c r="HD224" s="197"/>
      <c r="HE224" s="197"/>
      <c r="HF224" s="197"/>
      <c r="HG224" s="197"/>
      <c r="HH224" s="197"/>
      <c r="HI224" s="197"/>
      <c r="HJ224" s="197"/>
      <c r="HK224" s="197"/>
      <c r="HL224" s="197"/>
      <c r="HM224" s="197"/>
      <c r="HN224" s="197"/>
      <c r="HO224" s="197"/>
      <c r="HP224" s="197"/>
      <c r="HQ224" s="197"/>
      <c r="HR224" s="197"/>
      <c r="HS224" s="197"/>
      <c r="HT224" s="197"/>
      <c r="HU224" s="197"/>
      <c r="HV224" s="197"/>
      <c r="HW224" s="197"/>
      <c r="HX224" s="197"/>
      <c r="HY224" s="197"/>
      <c r="HZ224" s="197"/>
      <c r="IA224" s="197"/>
      <c r="IB224" s="197"/>
      <c r="IC224" s="197"/>
      <c r="ID224" s="197"/>
      <c r="IE224" s="197"/>
      <c r="IF224" s="197"/>
      <c r="IG224" s="197"/>
      <c r="IH224" s="197"/>
      <c r="II224" s="197"/>
      <c r="IJ224" s="197"/>
      <c r="IK224" s="197"/>
      <c r="IL224" s="197"/>
      <c r="IM224" s="197"/>
      <c r="IN224" s="197"/>
    </row>
    <row r="225" spans="1:251">
      <c r="A225" s="566" t="s">
        <v>605</v>
      </c>
      <c r="B225" s="230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79"/>
      <c r="AT225" s="179"/>
      <c r="AU225" s="179"/>
      <c r="AV225" s="179"/>
      <c r="AW225" s="179"/>
      <c r="AX225" s="179"/>
      <c r="AY225" s="179"/>
      <c r="AZ225" s="179"/>
      <c r="BA225" s="179"/>
      <c r="BB225" s="179"/>
      <c r="BC225" s="179"/>
      <c r="BD225" s="179"/>
      <c r="BE225" s="179"/>
      <c r="BF225" s="179"/>
      <c r="BG225" s="179"/>
      <c r="BH225" s="179"/>
      <c r="BI225" s="179"/>
      <c r="BJ225" s="179"/>
      <c r="BK225" s="179"/>
      <c r="BL225" s="179"/>
      <c r="BM225" s="179"/>
      <c r="BN225" s="179"/>
      <c r="BO225" s="179"/>
      <c r="BP225" s="179"/>
      <c r="BQ225" s="179"/>
      <c r="BR225" s="179"/>
      <c r="BS225" s="179"/>
      <c r="BT225" s="179"/>
      <c r="BU225" s="179"/>
      <c r="BV225" s="179"/>
      <c r="BW225" s="179"/>
      <c r="BX225" s="179"/>
      <c r="BY225" s="179"/>
      <c r="BZ225" s="179"/>
      <c r="CA225" s="179"/>
      <c r="CB225" s="179"/>
      <c r="CC225" s="179"/>
      <c r="CD225" s="179"/>
      <c r="CE225" s="179"/>
      <c r="CF225" s="179"/>
      <c r="CG225" s="179"/>
      <c r="CH225" s="179"/>
      <c r="CI225" s="179"/>
      <c r="CJ225" s="179"/>
      <c r="CK225" s="179"/>
      <c r="CL225" s="179"/>
      <c r="CM225" s="179"/>
      <c r="CN225" s="179"/>
      <c r="CO225" s="179"/>
      <c r="CP225" s="179"/>
      <c r="CQ225" s="179"/>
      <c r="CR225" s="179"/>
      <c r="CS225" s="179"/>
      <c r="CT225" s="179"/>
      <c r="CU225" s="179"/>
      <c r="CV225" s="179"/>
      <c r="CW225" s="179"/>
      <c r="CX225" s="179"/>
      <c r="CY225" s="179"/>
      <c r="CZ225" s="179"/>
      <c r="DA225" s="179"/>
      <c r="DB225" s="179"/>
      <c r="DC225" s="179"/>
      <c r="DD225" s="179"/>
      <c r="DE225" s="179"/>
      <c r="DF225" s="179"/>
      <c r="DG225" s="179"/>
      <c r="DH225" s="179"/>
      <c r="DI225" s="179"/>
      <c r="DJ225" s="179"/>
      <c r="DK225" s="179"/>
      <c r="DL225" s="179"/>
      <c r="DM225" s="179"/>
      <c r="DN225" s="179"/>
      <c r="DO225" s="179"/>
      <c r="DP225" s="179"/>
      <c r="DQ225" s="179"/>
      <c r="DR225" s="179"/>
      <c r="DS225" s="179"/>
      <c r="DT225" s="179"/>
      <c r="DU225" s="179"/>
      <c r="DV225" s="179"/>
      <c r="DW225" s="179"/>
      <c r="DX225" s="179"/>
      <c r="DY225" s="179"/>
      <c r="DZ225" s="179"/>
      <c r="EA225" s="179"/>
      <c r="EB225" s="179"/>
      <c r="EC225" s="179"/>
      <c r="ED225" s="179"/>
      <c r="EE225" s="179"/>
      <c r="EF225" s="179"/>
      <c r="EG225" s="179"/>
      <c r="EH225" s="179"/>
      <c r="EI225" s="179"/>
      <c r="EJ225" s="179"/>
      <c r="EK225" s="179"/>
      <c r="EL225" s="179"/>
      <c r="EM225" s="179"/>
      <c r="EN225" s="179"/>
      <c r="EO225" s="179"/>
      <c r="EP225" s="179"/>
      <c r="EQ225" s="179"/>
      <c r="ER225" s="179"/>
      <c r="ES225" s="179"/>
      <c r="ET225" s="179"/>
      <c r="EU225" s="179"/>
      <c r="EV225" s="179"/>
      <c r="EW225" s="179"/>
      <c r="EX225" s="179"/>
      <c r="EY225" s="179"/>
      <c r="EZ225" s="179"/>
      <c r="FA225" s="179"/>
      <c r="FB225" s="179"/>
      <c r="FC225" s="179"/>
      <c r="FD225" s="179"/>
      <c r="FE225" s="179"/>
      <c r="FF225" s="179"/>
      <c r="FG225" s="179"/>
      <c r="FH225" s="179"/>
      <c r="FI225" s="179"/>
      <c r="FJ225" s="179"/>
      <c r="FK225" s="179"/>
      <c r="FL225" s="179"/>
      <c r="FM225" s="179"/>
      <c r="FN225" s="179"/>
      <c r="FO225" s="179"/>
      <c r="FP225" s="179"/>
      <c r="FQ225" s="179"/>
      <c r="FR225" s="179"/>
      <c r="FS225" s="179"/>
      <c r="FT225" s="179"/>
      <c r="FU225" s="179"/>
      <c r="FV225" s="179"/>
      <c r="FW225" s="179"/>
      <c r="FX225" s="179"/>
      <c r="FY225" s="179"/>
      <c r="FZ225" s="179"/>
      <c r="GA225" s="179"/>
      <c r="GB225" s="179"/>
      <c r="GC225" s="179"/>
      <c r="GD225" s="179"/>
      <c r="GE225" s="179"/>
      <c r="GF225" s="179"/>
      <c r="GG225" s="179"/>
      <c r="GH225" s="179"/>
      <c r="GI225" s="179"/>
      <c r="GJ225" s="179"/>
      <c r="GK225" s="179"/>
      <c r="GL225" s="179"/>
      <c r="GM225" s="179"/>
      <c r="GN225" s="179"/>
      <c r="GO225" s="179"/>
      <c r="GP225" s="179"/>
      <c r="GQ225" s="179"/>
      <c r="GR225" s="179"/>
      <c r="GS225" s="179"/>
      <c r="GT225" s="179"/>
      <c r="GU225" s="179"/>
      <c r="GV225" s="179"/>
      <c r="GW225" s="179"/>
      <c r="GX225" s="179"/>
      <c r="GY225" s="179"/>
      <c r="GZ225" s="179"/>
      <c r="HA225" s="179"/>
      <c r="HB225" s="179"/>
      <c r="HC225" s="179"/>
      <c r="HD225" s="179"/>
      <c r="HE225" s="179"/>
      <c r="HF225" s="179"/>
      <c r="HG225" s="179"/>
      <c r="HH225" s="179"/>
      <c r="HI225" s="179"/>
      <c r="HJ225" s="179"/>
      <c r="HK225" s="179"/>
      <c r="HL225" s="179"/>
      <c r="HM225" s="179"/>
      <c r="HN225" s="179"/>
      <c r="HO225" s="179"/>
      <c r="HP225" s="179"/>
      <c r="HQ225" s="179"/>
      <c r="HR225" s="179"/>
      <c r="HS225" s="179"/>
      <c r="HT225" s="179"/>
      <c r="HU225" s="179"/>
      <c r="HV225" s="179"/>
      <c r="HW225" s="179"/>
      <c r="HX225" s="179"/>
      <c r="HY225" s="179"/>
      <c r="HZ225" s="179"/>
      <c r="IA225" s="179"/>
      <c r="IB225" s="179"/>
      <c r="IC225" s="179"/>
      <c r="ID225" s="179"/>
      <c r="IE225" s="179"/>
      <c r="IF225" s="179"/>
      <c r="IG225" s="179"/>
      <c r="IH225" s="179"/>
      <c r="II225" s="179"/>
      <c r="IJ225" s="179"/>
      <c r="IK225" s="179"/>
      <c r="IL225" s="179"/>
      <c r="IM225" s="179"/>
      <c r="IN225" s="179"/>
      <c r="IO225" s="179"/>
      <c r="IP225" s="179"/>
      <c r="IQ225" s="179"/>
    </row>
    <row r="227" spans="1:251">
      <c r="A227" s="321" t="s">
        <v>519</v>
      </c>
      <c r="B227">
        <f>5.94*B200*12</f>
        <v>168227.92800000001</v>
      </c>
    </row>
    <row r="228" spans="1:251">
      <c r="B228" s="276">
        <f>B209+B227</f>
        <v>711533.09107631422</v>
      </c>
    </row>
    <row r="229" spans="1:251">
      <c r="B229">
        <f>B228/B209</f>
        <v>1.3096380072065874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11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R173"/>
  <sheetViews>
    <sheetView topLeftCell="A136" workbookViewId="0">
      <selection activeCell="A143" sqref="A143:B169"/>
    </sheetView>
  </sheetViews>
  <sheetFormatPr defaultRowHeight="15"/>
  <cols>
    <col min="1" max="1" width="85.140625" customWidth="1"/>
    <col min="2" max="2" width="12.5703125" customWidth="1"/>
  </cols>
  <sheetData>
    <row r="1" spans="1:2" s="73" customFormat="1" ht="15.75">
      <c r="A1" s="701" t="s">
        <v>364</v>
      </c>
      <c r="B1" s="701"/>
    </row>
    <row r="2" spans="1:2" s="73" customFormat="1" ht="15.75">
      <c r="A2" s="702" t="s">
        <v>1578</v>
      </c>
      <c r="B2" s="702"/>
    </row>
    <row r="3" spans="1:2" s="86" customFormat="1" ht="15.75">
      <c r="A3" s="702" t="s">
        <v>3679</v>
      </c>
      <c r="B3" s="702"/>
    </row>
    <row r="4" spans="1:2" s="55" customFormat="1" ht="15.75">
      <c r="A4" s="649"/>
      <c r="B4" s="74"/>
    </row>
    <row r="5" spans="1:2" ht="30">
      <c r="A5" s="646" t="s">
        <v>229</v>
      </c>
      <c r="B5" s="82" t="s">
        <v>523</v>
      </c>
    </row>
    <row r="6" spans="1:2" s="73" customFormat="1">
      <c r="A6" s="191" t="s">
        <v>0</v>
      </c>
      <c r="B6" s="72"/>
    </row>
    <row r="7" spans="1:2" s="73" customFormat="1" ht="15.75" thickBot="1">
      <c r="A7" s="348" t="s">
        <v>29</v>
      </c>
      <c r="B7" s="129"/>
    </row>
    <row r="8" spans="1:2" s="73" customFormat="1" ht="15.75" thickBot="1">
      <c r="A8" s="262" t="s">
        <v>2933</v>
      </c>
      <c r="B8" s="129"/>
    </row>
    <row r="9" spans="1:2" s="73" customFormat="1">
      <c r="A9" s="659" t="s">
        <v>56</v>
      </c>
      <c r="B9" s="72"/>
    </row>
    <row r="10" spans="1:2" s="73" customFormat="1">
      <c r="A10" s="648" t="s">
        <v>57</v>
      </c>
      <c r="B10" s="123"/>
    </row>
    <row r="11" spans="1:2" s="73" customFormat="1" ht="28.5">
      <c r="A11" s="132" t="s">
        <v>3680</v>
      </c>
      <c r="B11" s="72">
        <v>1</v>
      </c>
    </row>
    <row r="12" spans="1:2" s="73" customFormat="1" ht="29.25" thickBot="1">
      <c r="A12" s="581" t="s">
        <v>3686</v>
      </c>
      <c r="B12" s="72">
        <v>2</v>
      </c>
    </row>
    <row r="13" spans="1:2" s="73" customFormat="1" ht="28.5">
      <c r="A13" s="660" t="s">
        <v>3687</v>
      </c>
      <c r="B13" s="123">
        <v>2</v>
      </c>
    </row>
    <row r="14" spans="1:2" s="73" customFormat="1" ht="28.5">
      <c r="A14" s="132" t="s">
        <v>3692</v>
      </c>
      <c r="B14" s="72">
        <v>3</v>
      </c>
    </row>
    <row r="15" spans="1:2" s="73" customFormat="1" ht="28.5">
      <c r="A15" s="132" t="s">
        <v>3693</v>
      </c>
      <c r="B15" s="72">
        <v>14</v>
      </c>
    </row>
    <row r="16" spans="1:2" s="73" customFormat="1" ht="28.5">
      <c r="A16" s="132" t="s">
        <v>3694</v>
      </c>
      <c r="B16" s="72">
        <v>4</v>
      </c>
    </row>
    <row r="17" spans="1:2" s="73" customFormat="1" ht="33" customHeight="1">
      <c r="A17" s="132" t="s">
        <v>3746</v>
      </c>
      <c r="B17" s="72"/>
    </row>
    <row r="18" spans="1:2" s="73" customFormat="1">
      <c r="A18" s="132" t="s">
        <v>3695</v>
      </c>
      <c r="B18" s="72">
        <v>8</v>
      </c>
    </row>
    <row r="19" spans="1:2" s="73" customFormat="1">
      <c r="A19" s="132" t="s">
        <v>3696</v>
      </c>
      <c r="B19" s="72">
        <v>2</v>
      </c>
    </row>
    <row r="20" spans="1:2" s="73" customFormat="1" ht="28.5">
      <c r="A20" s="132" t="s">
        <v>3697</v>
      </c>
      <c r="B20" s="72">
        <v>2</v>
      </c>
    </row>
    <row r="21" spans="1:2" s="73" customFormat="1">
      <c r="A21" s="132" t="s">
        <v>3698</v>
      </c>
      <c r="B21" s="72">
        <v>2</v>
      </c>
    </row>
    <row r="22" spans="1:2" s="73" customFormat="1" ht="28.5">
      <c r="A22" s="132" t="s">
        <v>3699</v>
      </c>
      <c r="B22" s="72">
        <v>2</v>
      </c>
    </row>
    <row r="23" spans="1:2" s="73" customFormat="1" ht="28.5">
      <c r="A23" s="132" t="s">
        <v>3707</v>
      </c>
      <c r="B23" s="72">
        <v>2</v>
      </c>
    </row>
    <row r="24" spans="1:2" s="73" customFormat="1" ht="28.5">
      <c r="A24" s="132" t="s">
        <v>3724</v>
      </c>
      <c r="B24" s="72">
        <v>2</v>
      </c>
    </row>
    <row r="25" spans="1:2" s="73" customFormat="1">
      <c r="A25" s="132" t="s">
        <v>3716</v>
      </c>
      <c r="B25" s="72">
        <v>2</v>
      </c>
    </row>
    <row r="26" spans="1:2" s="73" customFormat="1" ht="28.5">
      <c r="A26" s="132" t="s">
        <v>3717</v>
      </c>
      <c r="B26" s="72">
        <v>12</v>
      </c>
    </row>
    <row r="27" spans="1:2" s="73" customFormat="1">
      <c r="A27" s="132" t="s">
        <v>3721</v>
      </c>
      <c r="B27" s="72">
        <v>4</v>
      </c>
    </row>
    <row r="28" spans="1:2" s="73" customFormat="1" ht="28.5">
      <c r="A28" s="132" t="s">
        <v>3728</v>
      </c>
      <c r="B28" s="72">
        <v>4</v>
      </c>
    </row>
    <row r="29" spans="1:2" s="73" customFormat="1" ht="28.5">
      <c r="A29" s="132" t="s">
        <v>3733</v>
      </c>
      <c r="B29" s="72">
        <v>2</v>
      </c>
    </row>
    <row r="30" spans="1:2" s="73" customFormat="1" ht="20.25" customHeight="1">
      <c r="A30" s="132" t="s">
        <v>3734</v>
      </c>
      <c r="B30" s="72">
        <v>4</v>
      </c>
    </row>
    <row r="31" spans="1:2" s="73" customFormat="1" ht="42.75" customHeight="1">
      <c r="A31" s="132" t="s">
        <v>3739</v>
      </c>
      <c r="B31" s="72">
        <v>2</v>
      </c>
    </row>
    <row r="32" spans="1:2" s="73" customFormat="1" ht="21.75" customHeight="1">
      <c r="A32" s="132" t="s">
        <v>3745</v>
      </c>
      <c r="B32" s="72">
        <v>8</v>
      </c>
    </row>
    <row r="33" spans="1:2" s="73" customFormat="1" ht="18" customHeight="1">
      <c r="A33" s="132" t="s">
        <v>3747</v>
      </c>
      <c r="B33" s="72">
        <v>1</v>
      </c>
    </row>
    <row r="34" spans="1:2" s="73" customFormat="1" ht="28.5" customHeight="1">
      <c r="A34" s="132" t="s">
        <v>3748</v>
      </c>
      <c r="B34" s="72">
        <v>4</v>
      </c>
    </row>
    <row r="35" spans="1:2" s="73" customFormat="1" ht="28.5" customHeight="1">
      <c r="A35" s="132" t="s">
        <v>3767</v>
      </c>
      <c r="B35" s="72">
        <v>1</v>
      </c>
    </row>
    <row r="36" spans="1:2" s="73" customFormat="1" ht="28.5">
      <c r="A36" s="132" t="s">
        <v>3778</v>
      </c>
      <c r="B36" s="72">
        <v>2</v>
      </c>
    </row>
    <row r="37" spans="1:2" s="73" customFormat="1">
      <c r="A37" s="657" t="s">
        <v>66</v>
      </c>
      <c r="B37" s="72"/>
    </row>
    <row r="38" spans="1:2" s="73" customFormat="1" ht="28.5">
      <c r="A38" s="400" t="s">
        <v>2436</v>
      </c>
      <c r="B38" s="72">
        <v>1</v>
      </c>
    </row>
    <row r="39" spans="1:2" s="73" customFormat="1" ht="28.5">
      <c r="A39" s="97" t="s">
        <v>3735</v>
      </c>
      <c r="B39" s="72">
        <v>8</v>
      </c>
    </row>
    <row r="40" spans="1:2" s="73" customFormat="1">
      <c r="A40" s="97" t="s">
        <v>3751</v>
      </c>
      <c r="B40" s="72">
        <v>4</v>
      </c>
    </row>
    <row r="41" spans="1:2" s="73" customFormat="1">
      <c r="A41" s="84" t="s">
        <v>3749</v>
      </c>
      <c r="B41" s="72">
        <v>4</v>
      </c>
    </row>
    <row r="42" spans="1:2" s="73" customFormat="1">
      <c r="A42" s="84" t="s">
        <v>3750</v>
      </c>
      <c r="B42" s="72">
        <v>2</v>
      </c>
    </row>
    <row r="43" spans="1:2" s="73" customFormat="1" ht="30.75" customHeight="1">
      <c r="A43" s="97" t="s">
        <v>3759</v>
      </c>
      <c r="B43" s="72">
        <v>8</v>
      </c>
    </row>
    <row r="44" spans="1:2" s="73" customFormat="1" ht="20.25" customHeight="1">
      <c r="A44" s="400" t="s">
        <v>3786</v>
      </c>
      <c r="B44" s="72">
        <v>2</v>
      </c>
    </row>
    <row r="45" spans="1:2" s="73" customFormat="1">
      <c r="A45" s="658" t="s">
        <v>590</v>
      </c>
      <c r="B45" s="72"/>
    </row>
    <row r="46" spans="1:2" s="73" customFormat="1" ht="28.5">
      <c r="A46" s="596" t="s">
        <v>2758</v>
      </c>
      <c r="B46" s="72">
        <v>1</v>
      </c>
    </row>
    <row r="47" spans="1:2" s="73" customFormat="1">
      <c r="A47" s="400" t="s">
        <v>2759</v>
      </c>
      <c r="B47" s="72">
        <v>1</v>
      </c>
    </row>
    <row r="48" spans="1:2" s="73" customFormat="1">
      <c r="A48" s="400" t="s">
        <v>3681</v>
      </c>
      <c r="B48" s="72">
        <v>4</v>
      </c>
    </row>
    <row r="49" spans="1:2" s="73" customFormat="1" ht="28.5">
      <c r="A49" s="400" t="s">
        <v>3682</v>
      </c>
      <c r="B49" s="72">
        <v>2</v>
      </c>
    </row>
    <row r="50" spans="1:2" s="73" customFormat="1" ht="28.5">
      <c r="A50" s="400" t="s">
        <v>2772</v>
      </c>
      <c r="B50" s="72">
        <v>1</v>
      </c>
    </row>
    <row r="51" spans="1:2" s="73" customFormat="1" ht="28.5">
      <c r="A51" s="267" t="s">
        <v>3688</v>
      </c>
      <c r="B51" s="72">
        <v>2</v>
      </c>
    </row>
    <row r="52" spans="1:2" s="73" customFormat="1" ht="28.5">
      <c r="A52" s="400" t="s">
        <v>2054</v>
      </c>
      <c r="B52" s="72">
        <v>1</v>
      </c>
    </row>
    <row r="53" spans="1:2" s="73" customFormat="1" ht="15.75" customHeight="1">
      <c r="A53" s="267" t="s">
        <v>3700</v>
      </c>
      <c r="B53" s="72">
        <v>4</v>
      </c>
    </row>
    <row r="54" spans="1:2" s="73" customFormat="1" ht="28.5">
      <c r="A54" s="400" t="s">
        <v>2794</v>
      </c>
      <c r="B54" s="72">
        <v>1</v>
      </c>
    </row>
    <row r="55" spans="1:2" s="73" customFormat="1">
      <c r="A55" s="400" t="s">
        <v>3708</v>
      </c>
      <c r="B55" s="72">
        <v>1</v>
      </c>
    </row>
    <row r="56" spans="1:2" s="73" customFormat="1">
      <c r="A56" s="400" t="s">
        <v>3709</v>
      </c>
      <c r="B56" s="72">
        <v>1</v>
      </c>
    </row>
    <row r="57" spans="1:2" s="73" customFormat="1" ht="28.5">
      <c r="A57" s="400" t="s">
        <v>3710</v>
      </c>
      <c r="B57" s="72">
        <v>1</v>
      </c>
    </row>
    <row r="58" spans="1:2" s="73" customFormat="1">
      <c r="A58" s="400" t="s">
        <v>3711</v>
      </c>
      <c r="B58" s="72"/>
    </row>
    <row r="59" spans="1:2" s="73" customFormat="1" ht="28.5">
      <c r="A59" s="400" t="s">
        <v>3712</v>
      </c>
      <c r="B59" s="72">
        <v>1</v>
      </c>
    </row>
    <row r="60" spans="1:2" s="73" customFormat="1" ht="28.5">
      <c r="A60" s="400" t="s">
        <v>2102</v>
      </c>
      <c r="B60" s="72">
        <v>1</v>
      </c>
    </row>
    <row r="61" spans="1:2" s="73" customFormat="1">
      <c r="A61" s="400" t="s">
        <v>3713</v>
      </c>
      <c r="B61" s="72">
        <v>8</v>
      </c>
    </row>
    <row r="62" spans="1:2" s="73" customFormat="1" ht="28.5">
      <c r="A62" s="400" t="s">
        <v>3723</v>
      </c>
      <c r="B62" s="72">
        <v>2</v>
      </c>
    </row>
    <row r="63" spans="1:2" s="73" customFormat="1">
      <c r="A63" s="400" t="s">
        <v>3722</v>
      </c>
      <c r="B63" s="72">
        <v>1</v>
      </c>
    </row>
    <row r="64" spans="1:2">
      <c r="A64" s="400" t="s">
        <v>3725</v>
      </c>
      <c r="B64" s="72">
        <v>1</v>
      </c>
    </row>
    <row r="65" spans="1:7" ht="28.5">
      <c r="A65" s="400" t="s">
        <v>3729</v>
      </c>
      <c r="B65" s="72">
        <v>1</v>
      </c>
    </row>
    <row r="66" spans="1:7">
      <c r="A66" s="400" t="s">
        <v>3730</v>
      </c>
      <c r="B66" s="72">
        <v>2</v>
      </c>
    </row>
    <row r="67" spans="1:7">
      <c r="A67" s="400" t="s">
        <v>3731</v>
      </c>
      <c r="B67" s="72">
        <v>1</v>
      </c>
    </row>
    <row r="68" spans="1:7">
      <c r="A68" s="400" t="s">
        <v>3732</v>
      </c>
      <c r="B68" s="72">
        <v>4</v>
      </c>
    </row>
    <row r="69" spans="1:7" s="73" customFormat="1" ht="33.75" customHeight="1">
      <c r="A69" s="654" t="s">
        <v>2156</v>
      </c>
      <c r="B69" s="72"/>
    </row>
    <row r="70" spans="1:7" s="73" customFormat="1" ht="23.25" customHeight="1">
      <c r="A70" s="654" t="s">
        <v>3736</v>
      </c>
      <c r="B70" s="72">
        <v>4</v>
      </c>
    </row>
    <row r="71" spans="1:7" s="73" customFormat="1" ht="30" customHeight="1">
      <c r="A71" s="654" t="s">
        <v>3740</v>
      </c>
      <c r="B71" s="72">
        <v>4</v>
      </c>
    </row>
    <row r="72" spans="1:7" s="73" customFormat="1" ht="48.75" customHeight="1">
      <c r="A72" s="654" t="s">
        <v>3741</v>
      </c>
      <c r="B72" s="72">
        <v>2</v>
      </c>
    </row>
    <row r="73" spans="1:7" s="73" customFormat="1" ht="30.75" customHeight="1">
      <c r="A73" s="654" t="s">
        <v>3742</v>
      </c>
      <c r="B73" s="72">
        <v>4</v>
      </c>
    </row>
    <row r="74" spans="1:7" s="73" customFormat="1" ht="30.75" customHeight="1">
      <c r="A74" s="654" t="s">
        <v>3752</v>
      </c>
      <c r="B74" s="72">
        <v>4</v>
      </c>
    </row>
    <row r="75" spans="1:7" s="73" customFormat="1" ht="21" customHeight="1">
      <c r="A75" s="654" t="s">
        <v>3753</v>
      </c>
      <c r="B75" s="72">
        <v>4</v>
      </c>
      <c r="G75" s="73">
        <v>7</v>
      </c>
    </row>
    <row r="76" spans="1:7" s="73" customFormat="1" ht="30" customHeight="1">
      <c r="A76" s="654" t="s">
        <v>3754</v>
      </c>
      <c r="B76" s="72">
        <v>12</v>
      </c>
    </row>
    <row r="77" spans="1:7" s="73" customFormat="1" ht="30" customHeight="1">
      <c r="A77" s="654" t="s">
        <v>3760</v>
      </c>
      <c r="B77" s="72">
        <v>1</v>
      </c>
    </row>
    <row r="78" spans="1:7" s="73" customFormat="1" ht="30" customHeight="1">
      <c r="A78" s="654" t="s">
        <v>3761</v>
      </c>
      <c r="B78" s="72">
        <v>1</v>
      </c>
    </row>
    <row r="79" spans="1:7" s="73" customFormat="1" ht="30" customHeight="1">
      <c r="A79" s="654" t="s">
        <v>3762</v>
      </c>
      <c r="B79" s="72">
        <v>1</v>
      </c>
    </row>
    <row r="80" spans="1:7" s="73" customFormat="1" ht="17.25" customHeight="1">
      <c r="A80" s="654" t="s">
        <v>3763</v>
      </c>
      <c r="B80" s="72">
        <v>1</v>
      </c>
    </row>
    <row r="81" spans="1:2" s="73" customFormat="1" ht="31.5" customHeight="1">
      <c r="A81" s="654" t="s">
        <v>3764</v>
      </c>
      <c r="B81" s="72">
        <v>1</v>
      </c>
    </row>
    <row r="82" spans="1:2" ht="30">
      <c r="A82" s="94" t="s">
        <v>2234</v>
      </c>
      <c r="B82" s="72"/>
    </row>
    <row r="83" spans="1:2" ht="29.25" customHeight="1">
      <c r="A83" s="654" t="s">
        <v>3768</v>
      </c>
      <c r="B83" s="72">
        <v>4</v>
      </c>
    </row>
    <row r="84" spans="1:2" ht="18" customHeight="1">
      <c r="A84" s="655" t="s">
        <v>3769</v>
      </c>
      <c r="B84" s="72">
        <v>1</v>
      </c>
    </row>
    <row r="85" spans="1:2" ht="18" customHeight="1">
      <c r="A85" s="655" t="s">
        <v>3770</v>
      </c>
      <c r="B85" s="72">
        <v>2</v>
      </c>
    </row>
    <row r="86" spans="1:2" ht="18" customHeight="1">
      <c r="A86" s="655" t="s">
        <v>3771</v>
      </c>
      <c r="B86" s="72">
        <v>1</v>
      </c>
    </row>
    <row r="87" spans="1:2" ht="18" customHeight="1">
      <c r="A87" s="655" t="s">
        <v>3772</v>
      </c>
      <c r="B87" s="72">
        <v>1</v>
      </c>
    </row>
    <row r="88" spans="1:2" ht="18" customHeight="1">
      <c r="A88" s="655" t="s">
        <v>3773</v>
      </c>
      <c r="B88" s="72">
        <v>1</v>
      </c>
    </row>
    <row r="89" spans="1:2" ht="33" customHeight="1">
      <c r="A89" s="655" t="s">
        <v>3774</v>
      </c>
      <c r="B89" s="72">
        <v>4</v>
      </c>
    </row>
    <row r="90" spans="1:2" s="73" customFormat="1" ht="32.25" customHeight="1">
      <c r="A90" s="613" t="s">
        <v>3007</v>
      </c>
      <c r="B90" s="72">
        <v>1</v>
      </c>
    </row>
    <row r="91" spans="1:2" s="73" customFormat="1">
      <c r="A91" s="400" t="s">
        <v>2278</v>
      </c>
      <c r="B91" s="72">
        <v>1</v>
      </c>
    </row>
    <row r="92" spans="1:2" s="73" customFormat="1" ht="18.75" customHeight="1">
      <c r="A92" s="400" t="s">
        <v>3779</v>
      </c>
      <c r="B92" s="72">
        <v>1</v>
      </c>
    </row>
    <row r="93" spans="1:2" s="73" customFormat="1" ht="27.75" customHeight="1">
      <c r="A93" s="400" t="s">
        <v>3780</v>
      </c>
      <c r="B93" s="72">
        <v>2</v>
      </c>
    </row>
    <row r="94" spans="1:2" s="73" customFormat="1" ht="20.25" customHeight="1">
      <c r="A94" s="400" t="s">
        <v>3651</v>
      </c>
      <c r="B94" s="72">
        <v>1</v>
      </c>
    </row>
    <row r="95" spans="1:2" s="73" customFormat="1" ht="20.25" customHeight="1">
      <c r="A95" s="400" t="s">
        <v>3781</v>
      </c>
      <c r="B95" s="72">
        <v>1</v>
      </c>
    </row>
    <row r="96" spans="1:2" s="73" customFormat="1" ht="20.25" customHeight="1">
      <c r="A96" s="400" t="s">
        <v>3782</v>
      </c>
      <c r="B96" s="72">
        <v>1</v>
      </c>
    </row>
    <row r="97" spans="1:2" s="73" customFormat="1" ht="20.25" customHeight="1">
      <c r="A97" s="400" t="s">
        <v>3783</v>
      </c>
      <c r="B97" s="72">
        <v>1</v>
      </c>
    </row>
    <row r="98" spans="1:2" s="73" customFormat="1" ht="29.25" customHeight="1">
      <c r="A98" s="400" t="s">
        <v>3784</v>
      </c>
      <c r="B98" s="72">
        <v>1.5</v>
      </c>
    </row>
    <row r="99" spans="1:2" s="73" customFormat="1" ht="20.25" customHeight="1">
      <c r="A99" s="400" t="s">
        <v>3785</v>
      </c>
      <c r="B99" s="72">
        <v>1</v>
      </c>
    </row>
    <row r="100" spans="1:2" s="73" customFormat="1" ht="20.25" customHeight="1">
      <c r="A100" s="400" t="s">
        <v>3787</v>
      </c>
      <c r="B100" s="72">
        <v>2</v>
      </c>
    </row>
    <row r="101" spans="1:2" s="73" customFormat="1" ht="20.25" customHeight="1">
      <c r="A101" s="400" t="s">
        <v>3788</v>
      </c>
      <c r="B101" s="72">
        <v>1</v>
      </c>
    </row>
    <row r="102" spans="1:2" s="73" customFormat="1" ht="15.75" customHeight="1" thickBot="1">
      <c r="A102" s="647" t="s">
        <v>102</v>
      </c>
      <c r="B102" s="72"/>
    </row>
    <row r="103" spans="1:2" s="73" customFormat="1" ht="15" customHeight="1">
      <c r="A103" s="538" t="s">
        <v>3683</v>
      </c>
      <c r="B103" s="72">
        <v>1</v>
      </c>
    </row>
    <row r="104" spans="1:2" s="73" customFormat="1">
      <c r="A104" s="400" t="s">
        <v>3684</v>
      </c>
      <c r="B104" s="72">
        <v>1</v>
      </c>
    </row>
    <row r="105" spans="1:2" s="73" customFormat="1">
      <c r="A105" s="400" t="s">
        <v>3685</v>
      </c>
      <c r="B105" s="72">
        <v>1</v>
      </c>
    </row>
    <row r="106" spans="1:2" s="73" customFormat="1">
      <c r="A106" s="400" t="s">
        <v>3689</v>
      </c>
      <c r="B106" s="72">
        <v>1</v>
      </c>
    </row>
    <row r="107" spans="1:2" s="73" customFormat="1">
      <c r="A107" s="400" t="s">
        <v>3690</v>
      </c>
      <c r="B107" s="72">
        <v>2</v>
      </c>
    </row>
    <row r="108" spans="1:2" s="73" customFormat="1">
      <c r="A108" s="400" t="s">
        <v>3691</v>
      </c>
      <c r="B108" s="72">
        <v>1</v>
      </c>
    </row>
    <row r="109" spans="1:2" s="73" customFormat="1">
      <c r="A109" s="400" t="s">
        <v>3701</v>
      </c>
      <c r="B109" s="72">
        <v>1</v>
      </c>
    </row>
    <row r="110" spans="1:2" s="73" customFormat="1">
      <c r="A110" s="400" t="s">
        <v>3702</v>
      </c>
      <c r="B110" s="72">
        <v>1</v>
      </c>
    </row>
    <row r="111" spans="1:2" s="73" customFormat="1">
      <c r="A111" s="400" t="s">
        <v>3703</v>
      </c>
      <c r="B111" s="72">
        <v>1</v>
      </c>
    </row>
    <row r="112" spans="1:2" s="73" customFormat="1">
      <c r="A112" s="400" t="s">
        <v>3704</v>
      </c>
      <c r="B112" s="72">
        <v>1</v>
      </c>
    </row>
    <row r="113" spans="1:2" s="73" customFormat="1">
      <c r="A113" s="400" t="s">
        <v>3705</v>
      </c>
      <c r="B113" s="72">
        <v>1</v>
      </c>
    </row>
    <row r="114" spans="1:2" s="73" customFormat="1">
      <c r="A114" s="400" t="s">
        <v>3706</v>
      </c>
      <c r="B114" s="72">
        <v>1</v>
      </c>
    </row>
    <row r="115" spans="1:2" s="73" customFormat="1">
      <c r="A115" s="400" t="s">
        <v>2488</v>
      </c>
      <c r="B115" s="72">
        <v>1</v>
      </c>
    </row>
    <row r="116" spans="1:2" s="73" customFormat="1">
      <c r="A116" s="400" t="s">
        <v>3714</v>
      </c>
      <c r="B116" s="72">
        <v>1</v>
      </c>
    </row>
    <row r="117" spans="1:2" s="73" customFormat="1">
      <c r="A117" s="400" t="s">
        <v>3719</v>
      </c>
      <c r="B117" s="72"/>
    </row>
    <row r="118" spans="1:2" s="73" customFormat="1">
      <c r="A118" s="400" t="s">
        <v>3720</v>
      </c>
      <c r="B118" s="72"/>
    </row>
    <row r="119" spans="1:2" s="73" customFormat="1" ht="28.5">
      <c r="A119" s="400" t="s">
        <v>3715</v>
      </c>
      <c r="B119" s="72">
        <v>1</v>
      </c>
    </row>
    <row r="120" spans="1:2" s="73" customFormat="1">
      <c r="A120" s="400" t="s">
        <v>3718</v>
      </c>
      <c r="B120" s="72">
        <v>1</v>
      </c>
    </row>
    <row r="121" spans="1:2" s="73" customFormat="1">
      <c r="A121" s="400" t="s">
        <v>3726</v>
      </c>
      <c r="B121" s="72">
        <v>1</v>
      </c>
    </row>
    <row r="122" spans="1:2" s="73" customFormat="1">
      <c r="A122" s="400" t="s">
        <v>3727</v>
      </c>
      <c r="B122" s="72">
        <v>1</v>
      </c>
    </row>
    <row r="123" spans="1:2" s="73" customFormat="1" ht="28.5">
      <c r="A123" s="400" t="s">
        <v>3737</v>
      </c>
      <c r="B123" s="72">
        <v>1.5</v>
      </c>
    </row>
    <row r="124" spans="1:2" s="73" customFormat="1">
      <c r="A124" s="400" t="s">
        <v>3738</v>
      </c>
      <c r="B124" s="72">
        <v>1</v>
      </c>
    </row>
    <row r="125" spans="1:2" s="73" customFormat="1">
      <c r="A125" s="400" t="s">
        <v>3743</v>
      </c>
      <c r="B125" s="72">
        <v>2</v>
      </c>
    </row>
    <row r="126" spans="1:2" s="73" customFormat="1" ht="28.5">
      <c r="A126" s="400" t="s">
        <v>3744</v>
      </c>
      <c r="B126" s="72">
        <v>2</v>
      </c>
    </row>
    <row r="127" spans="1:2" s="73" customFormat="1">
      <c r="A127" s="400" t="s">
        <v>3755</v>
      </c>
      <c r="B127" s="72">
        <v>1.5</v>
      </c>
    </row>
    <row r="128" spans="1:2" s="73" customFormat="1" ht="28.5">
      <c r="A128" s="400" t="s">
        <v>3756</v>
      </c>
      <c r="B128" s="72">
        <v>1</v>
      </c>
    </row>
    <row r="129" spans="1:252" s="73" customFormat="1" ht="28.5">
      <c r="A129" s="400" t="s">
        <v>3757</v>
      </c>
      <c r="B129" s="72">
        <v>1</v>
      </c>
    </row>
    <row r="130" spans="1:252" s="73" customFormat="1" ht="28.5">
      <c r="A130" s="400" t="s">
        <v>3758</v>
      </c>
      <c r="B130" s="72">
        <v>1</v>
      </c>
    </row>
    <row r="131" spans="1:252" s="73" customFormat="1">
      <c r="A131" s="400" t="s">
        <v>3765</v>
      </c>
      <c r="B131" s="72">
        <v>1</v>
      </c>
    </row>
    <row r="132" spans="1:252" s="73" customFormat="1">
      <c r="A132" s="400" t="s">
        <v>3766</v>
      </c>
      <c r="B132" s="72">
        <v>1</v>
      </c>
    </row>
    <row r="133" spans="1:252" s="73" customFormat="1" ht="28.5">
      <c r="A133" s="400" t="s">
        <v>3775</v>
      </c>
      <c r="B133" s="72">
        <v>1</v>
      </c>
    </row>
    <row r="134" spans="1:252" s="73" customFormat="1">
      <c r="A134" s="400" t="s">
        <v>3776</v>
      </c>
      <c r="B134" s="72">
        <v>1</v>
      </c>
    </row>
    <row r="135" spans="1:252" s="73" customFormat="1">
      <c r="A135" s="400" t="s">
        <v>3777</v>
      </c>
      <c r="B135" s="72">
        <v>1</v>
      </c>
    </row>
    <row r="136" spans="1:252" s="73" customFormat="1">
      <c r="A136" s="400" t="s">
        <v>3789</v>
      </c>
      <c r="B136" s="72">
        <v>1</v>
      </c>
    </row>
    <row r="137" spans="1:252" s="73" customFormat="1">
      <c r="A137" s="400" t="s">
        <v>3790</v>
      </c>
      <c r="B137" s="72"/>
    </row>
    <row r="138" spans="1:252" s="73" customFormat="1">
      <c r="A138" s="400" t="s">
        <v>3791</v>
      </c>
      <c r="B138" s="72">
        <v>1</v>
      </c>
    </row>
    <row r="139" spans="1:252" s="73" customFormat="1">
      <c r="A139" s="400" t="s">
        <v>3792</v>
      </c>
      <c r="B139" s="72">
        <v>0.5</v>
      </c>
    </row>
    <row r="140" spans="1:252" s="73" customFormat="1">
      <c r="A140" s="400" t="s">
        <v>3793</v>
      </c>
      <c r="B140" s="72">
        <v>2</v>
      </c>
    </row>
    <row r="141" spans="1:252" s="73" customFormat="1" ht="15.75" thickBot="1">
      <c r="A141" s="656" t="s">
        <v>587</v>
      </c>
      <c r="B141" s="72">
        <f>SUM(B8:B140)</f>
        <v>270</v>
      </c>
    </row>
    <row r="142" spans="1:252">
      <c r="A142" s="78"/>
      <c r="B142" s="75"/>
    </row>
    <row r="143" spans="1:252" s="179" customFormat="1" ht="43.5" customHeight="1">
      <c r="A143" s="697" t="s">
        <v>3814</v>
      </c>
      <c r="IR143"/>
    </row>
    <row r="144" spans="1:252">
      <c r="A144" s="217" t="s">
        <v>593</v>
      </c>
      <c r="B144" s="196">
        <v>3235.95</v>
      </c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79"/>
      <c r="AZ144" s="179"/>
      <c r="BA144" s="179"/>
      <c r="BB144" s="179"/>
      <c r="BC144" s="179"/>
      <c r="BD144" s="179"/>
      <c r="BE144" s="179"/>
      <c r="BF144" s="179"/>
      <c r="BG144" s="179"/>
      <c r="BH144" s="179"/>
      <c r="BI144" s="179"/>
      <c r="BJ144" s="179"/>
      <c r="BK144" s="179"/>
      <c r="BL144" s="179"/>
      <c r="BM144" s="179"/>
      <c r="BN144" s="179"/>
      <c r="BO144" s="179"/>
      <c r="BP144" s="179"/>
      <c r="BQ144" s="179"/>
      <c r="BR144" s="179"/>
      <c r="BS144" s="179"/>
      <c r="BT144" s="179"/>
      <c r="BU144" s="179"/>
      <c r="BV144" s="179"/>
      <c r="BW144" s="179"/>
      <c r="BX144" s="179"/>
      <c r="BY144" s="179"/>
      <c r="BZ144" s="179"/>
      <c r="CA144" s="179"/>
      <c r="CB144" s="179"/>
      <c r="CC144" s="179"/>
      <c r="CD144" s="179"/>
      <c r="CE144" s="179"/>
      <c r="CF144" s="179"/>
      <c r="CG144" s="179"/>
      <c r="CH144" s="179"/>
      <c r="CI144" s="179"/>
      <c r="CJ144" s="179"/>
      <c r="CK144" s="179"/>
      <c r="CL144" s="179"/>
      <c r="CM144" s="179"/>
      <c r="CN144" s="179"/>
      <c r="CO144" s="179"/>
      <c r="CP144" s="179"/>
      <c r="CQ144" s="179"/>
      <c r="CR144" s="179"/>
      <c r="CS144" s="179"/>
      <c r="CT144" s="179"/>
      <c r="CU144" s="179"/>
      <c r="CV144" s="179"/>
      <c r="CW144" s="179"/>
      <c r="CX144" s="179"/>
      <c r="CY144" s="179"/>
      <c r="CZ144" s="179"/>
      <c r="DA144" s="179"/>
      <c r="DB144" s="179"/>
      <c r="DC144" s="179"/>
      <c r="DD144" s="179"/>
      <c r="DE144" s="179"/>
      <c r="DF144" s="179"/>
      <c r="DG144" s="179"/>
      <c r="DH144" s="179"/>
      <c r="DI144" s="179"/>
      <c r="DJ144" s="179"/>
      <c r="DK144" s="179"/>
      <c r="DL144" s="179"/>
      <c r="DM144" s="179"/>
      <c r="DN144" s="179"/>
      <c r="DO144" s="179"/>
      <c r="DP144" s="179"/>
      <c r="DQ144" s="179"/>
      <c r="DR144" s="179"/>
      <c r="DS144" s="179"/>
      <c r="DT144" s="179"/>
      <c r="DU144" s="179"/>
      <c r="DV144" s="179"/>
      <c r="DW144" s="179"/>
      <c r="DX144" s="179"/>
      <c r="DY144" s="179"/>
      <c r="DZ144" s="179"/>
      <c r="EA144" s="179"/>
      <c r="EB144" s="179"/>
      <c r="EC144" s="179"/>
      <c r="ED144" s="179"/>
      <c r="EE144" s="179"/>
      <c r="EF144" s="179"/>
      <c r="EG144" s="179"/>
      <c r="EH144" s="179"/>
      <c r="EI144" s="179"/>
      <c r="EJ144" s="179"/>
      <c r="EK144" s="179"/>
      <c r="EL144" s="179"/>
      <c r="EM144" s="179"/>
      <c r="EN144" s="179"/>
      <c r="EO144" s="179"/>
      <c r="EP144" s="179"/>
      <c r="EQ144" s="179"/>
      <c r="ER144" s="179"/>
      <c r="ES144" s="179"/>
      <c r="ET144" s="179"/>
      <c r="EU144" s="179"/>
      <c r="EV144" s="179"/>
      <c r="EW144" s="179"/>
      <c r="EX144" s="179"/>
      <c r="EY144" s="179"/>
      <c r="EZ144" s="179"/>
      <c r="FA144" s="179"/>
      <c r="FB144" s="179"/>
      <c r="FC144" s="179"/>
      <c r="FD144" s="179"/>
      <c r="FE144" s="179"/>
      <c r="FF144" s="179"/>
      <c r="FG144" s="179"/>
      <c r="FH144" s="179"/>
      <c r="FI144" s="179"/>
      <c r="FJ144" s="179"/>
      <c r="FK144" s="179"/>
      <c r="FL144" s="179"/>
      <c r="FM144" s="179"/>
      <c r="FN144" s="179"/>
      <c r="FO144" s="179"/>
      <c r="FP144" s="179"/>
      <c r="FQ144" s="179"/>
      <c r="FR144" s="179"/>
      <c r="FS144" s="179"/>
      <c r="FT144" s="179"/>
      <c r="FU144" s="179"/>
      <c r="FV144" s="179"/>
      <c r="FW144" s="179"/>
      <c r="FX144" s="179"/>
      <c r="FY144" s="179"/>
      <c r="FZ144" s="179"/>
      <c r="GA144" s="179"/>
      <c r="GB144" s="179"/>
      <c r="GC144" s="179"/>
      <c r="GD144" s="179"/>
      <c r="GE144" s="179"/>
      <c r="GF144" s="179"/>
      <c r="GG144" s="179"/>
      <c r="GH144" s="179"/>
      <c r="GI144" s="179"/>
      <c r="GJ144" s="179"/>
      <c r="GK144" s="179"/>
      <c r="GL144" s="179"/>
      <c r="GM144" s="179"/>
      <c r="GN144" s="179"/>
      <c r="GO144" s="179"/>
      <c r="GP144" s="179"/>
      <c r="GQ144" s="179"/>
      <c r="GR144" s="179"/>
      <c r="GS144" s="179"/>
      <c r="GT144" s="179"/>
      <c r="GU144" s="179"/>
      <c r="GV144" s="179"/>
      <c r="GW144" s="179"/>
      <c r="GX144" s="179"/>
      <c r="GY144" s="179"/>
      <c r="GZ144" s="179"/>
      <c r="HA144" s="179"/>
      <c r="HB144" s="179"/>
      <c r="HC144" s="179"/>
      <c r="HD144" s="179"/>
      <c r="HE144" s="179"/>
      <c r="HF144" s="179"/>
      <c r="HG144" s="179"/>
      <c r="HH144" s="179"/>
      <c r="HI144" s="179"/>
      <c r="HJ144" s="179"/>
      <c r="HK144" s="179"/>
      <c r="HL144" s="179"/>
      <c r="HM144" s="179"/>
      <c r="HN144" s="179"/>
      <c r="HO144" s="179"/>
      <c r="HP144" s="179"/>
      <c r="HQ144" s="179"/>
      <c r="HR144" s="179"/>
      <c r="HS144" s="179"/>
      <c r="HT144" s="179"/>
      <c r="HU144" s="179"/>
      <c r="HV144" s="179"/>
      <c r="HW144" s="179"/>
      <c r="HX144" s="179"/>
      <c r="HY144" s="179"/>
      <c r="HZ144" s="179"/>
      <c r="IA144" s="179"/>
      <c r="IB144" s="179"/>
      <c r="IC144" s="179"/>
      <c r="ID144" s="179"/>
      <c r="IE144" s="179"/>
      <c r="IF144" s="179"/>
      <c r="IG144" s="179"/>
      <c r="IH144" s="179"/>
      <c r="II144" s="179"/>
      <c r="IJ144" s="179"/>
      <c r="IK144" s="179"/>
      <c r="IL144" s="179"/>
      <c r="IM144" s="179"/>
      <c r="IN144" s="179"/>
      <c r="IO144" s="179"/>
      <c r="IP144" s="179"/>
      <c r="IQ144" s="179"/>
    </row>
    <row r="145" spans="1:251">
      <c r="A145" s="217" t="s">
        <v>594</v>
      </c>
      <c r="B145" s="196">
        <v>19.16</v>
      </c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79"/>
      <c r="BG145" s="179"/>
      <c r="BH145" s="179"/>
      <c r="BI145" s="179"/>
      <c r="BJ145" s="179"/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9"/>
      <c r="BW145" s="179"/>
      <c r="BX145" s="179"/>
      <c r="BY145" s="179"/>
      <c r="BZ145" s="179"/>
      <c r="CA145" s="179"/>
      <c r="CB145" s="179"/>
      <c r="CC145" s="179"/>
      <c r="CD145" s="179"/>
      <c r="CE145" s="179"/>
      <c r="CF145" s="179"/>
      <c r="CG145" s="179"/>
      <c r="CH145" s="179"/>
      <c r="CI145" s="179"/>
      <c r="CJ145" s="179"/>
      <c r="CK145" s="179"/>
      <c r="CL145" s="179"/>
      <c r="CM145" s="179"/>
      <c r="CN145" s="179"/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9"/>
      <c r="CZ145" s="179"/>
      <c r="DA145" s="179"/>
      <c r="DB145" s="179"/>
      <c r="DC145" s="179"/>
      <c r="DD145" s="179"/>
      <c r="DE145" s="179"/>
      <c r="DF145" s="179"/>
      <c r="DG145" s="179"/>
      <c r="DH145" s="179"/>
      <c r="DI145" s="179"/>
      <c r="DJ145" s="179"/>
      <c r="DK145" s="179"/>
      <c r="DL145" s="179"/>
      <c r="DM145" s="179"/>
      <c r="DN145" s="179"/>
      <c r="DO145" s="179"/>
      <c r="DP145" s="179"/>
      <c r="DQ145" s="179"/>
      <c r="DR145" s="179"/>
      <c r="DS145" s="179"/>
      <c r="DT145" s="179"/>
      <c r="DU145" s="179"/>
      <c r="DV145" s="179"/>
      <c r="DW145" s="179"/>
      <c r="DX145" s="179"/>
      <c r="DY145" s="179"/>
      <c r="DZ145" s="179"/>
      <c r="EA145" s="179"/>
      <c r="EB145" s="179"/>
      <c r="EC145" s="179"/>
      <c r="ED145" s="179"/>
      <c r="EE145" s="179"/>
      <c r="EF145" s="179"/>
      <c r="EG145" s="179"/>
      <c r="EH145" s="179"/>
      <c r="EI145" s="179"/>
      <c r="EJ145" s="179"/>
      <c r="EK145" s="179"/>
      <c r="EL145" s="179"/>
      <c r="EM145" s="179"/>
      <c r="EN145" s="179"/>
      <c r="EO145" s="179"/>
      <c r="EP145" s="179"/>
      <c r="EQ145" s="179"/>
      <c r="ER145" s="179"/>
      <c r="ES145" s="179"/>
      <c r="ET145" s="179"/>
      <c r="EU145" s="179"/>
      <c r="EV145" s="179"/>
      <c r="EW145" s="179"/>
      <c r="EX145" s="179"/>
      <c r="EY145" s="179"/>
      <c r="EZ145" s="179"/>
      <c r="FA145" s="179"/>
      <c r="FB145" s="179"/>
      <c r="FC145" s="179"/>
      <c r="FD145" s="179"/>
      <c r="FE145" s="179"/>
      <c r="FF145" s="179"/>
      <c r="FG145" s="179"/>
      <c r="FH145" s="179"/>
      <c r="FI145" s="179"/>
      <c r="FJ145" s="179"/>
      <c r="FK145" s="179"/>
      <c r="FL145" s="179"/>
      <c r="FM145" s="179"/>
      <c r="FN145" s="179"/>
      <c r="FO145" s="179"/>
      <c r="FP145" s="179"/>
      <c r="FQ145" s="179"/>
      <c r="FR145" s="179"/>
      <c r="FS145" s="179"/>
      <c r="FT145" s="179"/>
      <c r="FU145" s="179"/>
      <c r="FV145" s="179"/>
      <c r="FW145" s="179"/>
      <c r="FX145" s="179"/>
      <c r="FY145" s="179"/>
      <c r="FZ145" s="179"/>
      <c r="GA145" s="179"/>
      <c r="GB145" s="179"/>
      <c r="GC145" s="179"/>
      <c r="GD145" s="179"/>
      <c r="GE145" s="179"/>
      <c r="GF145" s="179"/>
      <c r="GG145" s="179"/>
      <c r="GH145" s="179"/>
      <c r="GI145" s="179"/>
      <c r="GJ145" s="179"/>
      <c r="GK145" s="179"/>
      <c r="GL145" s="179"/>
      <c r="GM145" s="179"/>
      <c r="GN145" s="179"/>
      <c r="GO145" s="179"/>
      <c r="GP145" s="179"/>
      <c r="GQ145" s="179"/>
      <c r="GR145" s="179"/>
      <c r="GS145" s="179"/>
      <c r="GT145" s="179"/>
      <c r="GU145" s="179"/>
      <c r="GV145" s="179"/>
      <c r="GW145" s="179"/>
      <c r="GX145" s="179"/>
      <c r="GY145" s="179"/>
      <c r="GZ145" s="179"/>
      <c r="HA145" s="179"/>
      <c r="HB145" s="179"/>
      <c r="HC145" s="179"/>
      <c r="HD145" s="179"/>
      <c r="HE145" s="179"/>
      <c r="HF145" s="179"/>
      <c r="HG145" s="179"/>
      <c r="HH145" s="179"/>
      <c r="HI145" s="179"/>
      <c r="HJ145" s="179"/>
      <c r="HK145" s="179"/>
      <c r="HL145" s="179"/>
      <c r="HM145" s="179"/>
      <c r="HN145" s="179"/>
      <c r="HO145" s="179"/>
      <c r="HP145" s="179"/>
      <c r="HQ145" s="179"/>
      <c r="HR145" s="179"/>
      <c r="HS145" s="179"/>
      <c r="HT145" s="179"/>
      <c r="HU145" s="179"/>
      <c r="HV145" s="179"/>
      <c r="HW145" s="179"/>
      <c r="HX145" s="179"/>
      <c r="HY145" s="179"/>
      <c r="HZ145" s="179"/>
      <c r="IA145" s="179"/>
      <c r="IB145" s="179"/>
      <c r="IC145" s="179"/>
      <c r="ID145" s="179"/>
      <c r="IE145" s="179"/>
      <c r="IF145" s="179"/>
      <c r="IG145" s="179"/>
      <c r="IH145" s="179"/>
      <c r="II145" s="179"/>
      <c r="IJ145" s="179"/>
      <c r="IK145" s="179"/>
      <c r="IL145" s="179"/>
      <c r="IM145" s="179"/>
      <c r="IN145" s="179"/>
      <c r="IO145" s="179"/>
      <c r="IP145" s="179"/>
      <c r="IQ145" s="179"/>
    </row>
    <row r="146" spans="1:251">
      <c r="A146" s="218" t="s">
        <v>711</v>
      </c>
      <c r="B146" s="193">
        <v>149020.6</v>
      </c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79"/>
      <c r="BN146" s="179"/>
      <c r="BO146" s="179"/>
      <c r="BP146" s="179"/>
      <c r="BQ146" s="179"/>
      <c r="BR146" s="179"/>
      <c r="BS146" s="179"/>
      <c r="BT146" s="179"/>
      <c r="BU146" s="179"/>
      <c r="BV146" s="179"/>
      <c r="BW146" s="179"/>
      <c r="BX146" s="179"/>
      <c r="BY146" s="179"/>
      <c r="BZ146" s="179"/>
      <c r="CA146" s="179"/>
      <c r="CB146" s="179"/>
      <c r="CC146" s="179"/>
      <c r="CD146" s="179"/>
      <c r="CE146" s="179"/>
      <c r="CF146" s="179"/>
      <c r="CG146" s="179"/>
      <c r="CH146" s="179"/>
      <c r="CI146" s="179"/>
      <c r="CJ146" s="179"/>
      <c r="CK146" s="179"/>
      <c r="CL146" s="179"/>
      <c r="CM146" s="179"/>
      <c r="CN146" s="179"/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  <c r="DB146" s="179"/>
      <c r="DC146" s="179"/>
      <c r="DD146" s="179"/>
      <c r="DE146" s="179"/>
      <c r="DF146" s="179"/>
      <c r="DG146" s="179"/>
      <c r="DH146" s="179"/>
      <c r="DI146" s="179"/>
      <c r="DJ146" s="179"/>
      <c r="DK146" s="179"/>
      <c r="DL146" s="179"/>
      <c r="DM146" s="179"/>
      <c r="DN146" s="179"/>
      <c r="DO146" s="179"/>
      <c r="DP146" s="179"/>
      <c r="DQ146" s="179"/>
      <c r="DR146" s="179"/>
      <c r="DS146" s="179"/>
      <c r="DT146" s="179"/>
      <c r="DU146" s="179"/>
      <c r="DV146" s="179"/>
      <c r="DW146" s="179"/>
      <c r="DX146" s="179"/>
      <c r="DY146" s="179"/>
      <c r="DZ146" s="179"/>
      <c r="EA146" s="179"/>
      <c r="EB146" s="179"/>
      <c r="EC146" s="179"/>
      <c r="ED146" s="179"/>
      <c r="EE146" s="179"/>
      <c r="EF146" s="179"/>
      <c r="EG146" s="179"/>
      <c r="EH146" s="179"/>
      <c r="EI146" s="179"/>
      <c r="EJ146" s="179"/>
      <c r="EK146" s="179"/>
      <c r="EL146" s="179"/>
      <c r="EM146" s="179"/>
      <c r="EN146" s="179"/>
      <c r="EO146" s="179"/>
      <c r="EP146" s="179"/>
      <c r="EQ146" s="179"/>
      <c r="ER146" s="179"/>
      <c r="ES146" s="179"/>
      <c r="ET146" s="179"/>
      <c r="EU146" s="179"/>
      <c r="EV146" s="179"/>
      <c r="EW146" s="179"/>
      <c r="EX146" s="179"/>
      <c r="EY146" s="179"/>
      <c r="EZ146" s="179"/>
      <c r="FA146" s="179"/>
      <c r="FB146" s="179"/>
      <c r="FC146" s="179"/>
      <c r="FD146" s="179"/>
      <c r="FE146" s="179"/>
      <c r="FF146" s="179"/>
      <c r="FG146" s="179"/>
      <c r="FH146" s="179"/>
      <c r="FI146" s="179"/>
      <c r="FJ146" s="179"/>
      <c r="FK146" s="179"/>
      <c r="FL146" s="179"/>
      <c r="FM146" s="179"/>
      <c r="FN146" s="179"/>
      <c r="FO146" s="179"/>
      <c r="FP146" s="179"/>
      <c r="FQ146" s="179"/>
      <c r="FR146" s="179"/>
      <c r="FS146" s="179"/>
      <c r="FT146" s="179"/>
      <c r="FU146" s="179"/>
      <c r="FV146" s="179"/>
      <c r="FW146" s="179"/>
      <c r="FX146" s="179"/>
      <c r="FY146" s="179"/>
      <c r="FZ146" s="179"/>
      <c r="GA146" s="179"/>
      <c r="GB146" s="179"/>
      <c r="GC146" s="179"/>
      <c r="GD146" s="179"/>
      <c r="GE146" s="179"/>
      <c r="GF146" s="179"/>
      <c r="GG146" s="179"/>
      <c r="GH146" s="179"/>
      <c r="GI146" s="179"/>
      <c r="GJ146" s="179"/>
      <c r="GK146" s="179"/>
      <c r="GL146" s="179"/>
      <c r="GM146" s="179"/>
      <c r="GN146" s="179"/>
      <c r="GO146" s="179"/>
      <c r="GP146" s="179"/>
      <c r="GQ146" s="179"/>
      <c r="GR146" s="179"/>
      <c r="GS146" s="179"/>
      <c r="GT146" s="179"/>
      <c r="GU146" s="179"/>
      <c r="GV146" s="179"/>
      <c r="GW146" s="179"/>
      <c r="GX146" s="179"/>
      <c r="GY146" s="179"/>
      <c r="GZ146" s="179"/>
      <c r="HA146" s="179"/>
      <c r="HB146" s="179"/>
      <c r="HC146" s="179"/>
      <c r="HD146" s="179"/>
      <c r="HE146" s="179"/>
      <c r="HF146" s="179"/>
      <c r="HG146" s="179"/>
      <c r="HH146" s="179"/>
      <c r="HI146" s="179"/>
      <c r="HJ146" s="179"/>
      <c r="HK146" s="179"/>
      <c r="HL146" s="179"/>
      <c r="HM146" s="179"/>
      <c r="HN146" s="179"/>
      <c r="HO146" s="179"/>
      <c r="HP146" s="179"/>
      <c r="HQ146" s="179"/>
      <c r="HR146" s="179"/>
      <c r="HS146" s="179"/>
      <c r="HT146" s="179"/>
      <c r="HU146" s="179"/>
      <c r="HV146" s="179"/>
      <c r="HW146" s="179"/>
      <c r="HX146" s="179"/>
      <c r="HY146" s="179"/>
      <c r="HZ146" s="179"/>
      <c r="IA146" s="179"/>
      <c r="IB146" s="179"/>
      <c r="IC146" s="179"/>
      <c r="ID146" s="179"/>
      <c r="IE146" s="179"/>
      <c r="IF146" s="179"/>
      <c r="IG146" s="179"/>
      <c r="IH146" s="179"/>
      <c r="II146" s="179"/>
      <c r="IJ146" s="179"/>
      <c r="IK146" s="179"/>
      <c r="IL146" s="179"/>
      <c r="IM146" s="179"/>
      <c r="IN146" s="179"/>
      <c r="IO146" s="179"/>
      <c r="IP146" s="179"/>
      <c r="IQ146" s="179"/>
    </row>
    <row r="147" spans="1:251">
      <c r="A147" s="218" t="s">
        <v>1123</v>
      </c>
      <c r="B147" s="193">
        <v>643481.38</v>
      </c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/>
      <c r="CK147" s="179"/>
      <c r="CL147" s="179"/>
      <c r="CM147" s="179"/>
      <c r="CN147" s="179"/>
      <c r="CO147" s="179"/>
      <c r="CP147" s="179"/>
      <c r="CQ147" s="179"/>
      <c r="CR147" s="179"/>
      <c r="CS147" s="179"/>
      <c r="CT147" s="179"/>
      <c r="CU147" s="179"/>
      <c r="CV147" s="179"/>
      <c r="CW147" s="179"/>
      <c r="CX147" s="179"/>
      <c r="CY147" s="179"/>
      <c r="CZ147" s="179"/>
      <c r="DA147" s="179"/>
      <c r="DB147" s="179"/>
      <c r="DC147" s="179"/>
      <c r="DD147" s="179"/>
      <c r="DE147" s="179"/>
      <c r="DF147" s="179"/>
      <c r="DG147" s="179"/>
      <c r="DH147" s="179"/>
      <c r="DI147" s="179"/>
      <c r="DJ147" s="179"/>
      <c r="DK147" s="179"/>
      <c r="DL147" s="179"/>
      <c r="DM147" s="179"/>
      <c r="DN147" s="179"/>
      <c r="DO147" s="179"/>
      <c r="DP147" s="179"/>
      <c r="DQ147" s="179"/>
      <c r="DR147" s="179"/>
      <c r="DS147" s="179"/>
      <c r="DT147" s="179"/>
      <c r="DU147" s="179"/>
      <c r="DV147" s="179"/>
      <c r="DW147" s="179"/>
      <c r="DX147" s="179"/>
      <c r="DY147" s="179"/>
      <c r="DZ147" s="179"/>
      <c r="EA147" s="179"/>
      <c r="EB147" s="179"/>
      <c r="EC147" s="179"/>
      <c r="ED147" s="179"/>
      <c r="EE147" s="179"/>
      <c r="EF147" s="179"/>
      <c r="EG147" s="179"/>
      <c r="EH147" s="179"/>
      <c r="EI147" s="179"/>
      <c r="EJ147" s="179"/>
      <c r="EK147" s="179"/>
      <c r="EL147" s="179"/>
      <c r="EM147" s="179"/>
      <c r="EN147" s="179"/>
      <c r="EO147" s="179"/>
      <c r="EP147" s="179"/>
      <c r="EQ147" s="179"/>
      <c r="ER147" s="179"/>
      <c r="ES147" s="179"/>
      <c r="ET147" s="179"/>
      <c r="EU147" s="179"/>
      <c r="EV147" s="179"/>
      <c r="EW147" s="179"/>
      <c r="EX147" s="179"/>
      <c r="EY147" s="179"/>
      <c r="EZ147" s="179"/>
      <c r="FA147" s="179"/>
      <c r="FB147" s="179"/>
      <c r="FC147" s="179"/>
      <c r="FD147" s="179"/>
      <c r="FE147" s="179"/>
      <c r="FF147" s="179"/>
      <c r="FG147" s="179"/>
      <c r="FH147" s="179"/>
      <c r="FI147" s="179"/>
      <c r="FJ147" s="179"/>
      <c r="FK147" s="179"/>
      <c r="FL147" s="179"/>
      <c r="FM147" s="179"/>
      <c r="FN147" s="179"/>
      <c r="FO147" s="179"/>
      <c r="FP147" s="179"/>
      <c r="FQ147" s="179"/>
      <c r="FR147" s="179"/>
      <c r="FS147" s="179"/>
      <c r="FT147" s="179"/>
      <c r="FU147" s="179"/>
      <c r="FV147" s="179"/>
      <c r="FW147" s="179"/>
      <c r="FX147" s="179"/>
      <c r="FY147" s="179"/>
      <c r="FZ147" s="179"/>
      <c r="GA147" s="179"/>
      <c r="GB147" s="179"/>
      <c r="GC147" s="179"/>
      <c r="GD147" s="179"/>
      <c r="GE147" s="179"/>
      <c r="GF147" s="179"/>
      <c r="GG147" s="179"/>
      <c r="GH147" s="179"/>
      <c r="GI147" s="179"/>
      <c r="GJ147" s="179"/>
      <c r="GK147" s="179"/>
      <c r="GL147" s="179"/>
      <c r="GM147" s="179"/>
      <c r="GN147" s="179"/>
      <c r="GO147" s="179"/>
      <c r="GP147" s="179"/>
      <c r="GQ147" s="179"/>
      <c r="GR147" s="179"/>
      <c r="GS147" s="179"/>
      <c r="GT147" s="179"/>
      <c r="GU147" s="179"/>
      <c r="GV147" s="179"/>
      <c r="GW147" s="179"/>
      <c r="GX147" s="179"/>
      <c r="GY147" s="179"/>
      <c r="GZ147" s="179"/>
      <c r="HA147" s="179"/>
      <c r="HB147" s="179"/>
      <c r="HC147" s="179"/>
      <c r="HD147" s="179"/>
      <c r="HE147" s="179"/>
      <c r="HF147" s="179"/>
      <c r="HG147" s="179"/>
      <c r="HH147" s="179"/>
      <c r="HI147" s="179"/>
      <c r="HJ147" s="179"/>
      <c r="HK147" s="179"/>
      <c r="HL147" s="179"/>
      <c r="HM147" s="179"/>
      <c r="HN147" s="179"/>
      <c r="HO147" s="179"/>
      <c r="HP147" s="179"/>
      <c r="HQ147" s="179"/>
      <c r="HR147" s="179"/>
      <c r="HS147" s="179"/>
      <c r="HT147" s="179"/>
      <c r="HU147" s="179"/>
      <c r="HV147" s="179"/>
      <c r="HW147" s="179"/>
      <c r="HX147" s="179"/>
      <c r="HY147" s="179"/>
      <c r="HZ147" s="179"/>
      <c r="IA147" s="179"/>
      <c r="IB147" s="179"/>
      <c r="IC147" s="179"/>
      <c r="ID147" s="179"/>
      <c r="IE147" s="179"/>
      <c r="IF147" s="179"/>
      <c r="IG147" s="179"/>
      <c r="IH147" s="179"/>
      <c r="II147" s="179"/>
      <c r="IJ147" s="179"/>
      <c r="IK147" s="179"/>
      <c r="IL147" s="179"/>
      <c r="IM147" s="179"/>
      <c r="IN147" s="179"/>
      <c r="IO147" s="179"/>
      <c r="IP147" s="179"/>
      <c r="IQ147" s="179"/>
    </row>
    <row r="148" spans="1:251">
      <c r="A148" s="218" t="s">
        <v>1602</v>
      </c>
      <c r="B148" s="193">
        <f>28761.7+11026.37</f>
        <v>39788.07</v>
      </c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79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79"/>
      <c r="BZ148" s="179"/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79"/>
      <c r="CK148" s="179"/>
      <c r="CL148" s="179"/>
      <c r="CM148" s="179"/>
      <c r="CN148" s="179"/>
      <c r="CO148" s="179"/>
      <c r="CP148" s="179"/>
      <c r="CQ148" s="179"/>
      <c r="CR148" s="179"/>
      <c r="CS148" s="179"/>
      <c r="CT148" s="179"/>
      <c r="CU148" s="179"/>
      <c r="CV148" s="179"/>
      <c r="CW148" s="179"/>
      <c r="CX148" s="179"/>
      <c r="CY148" s="179"/>
      <c r="CZ148" s="179"/>
      <c r="DA148" s="179"/>
      <c r="DB148" s="179"/>
      <c r="DC148" s="179"/>
      <c r="DD148" s="179"/>
      <c r="DE148" s="179"/>
      <c r="DF148" s="179"/>
      <c r="DG148" s="179"/>
      <c r="DH148" s="179"/>
      <c r="DI148" s="179"/>
      <c r="DJ148" s="179"/>
      <c r="DK148" s="179"/>
      <c r="DL148" s="179"/>
      <c r="DM148" s="179"/>
      <c r="DN148" s="179"/>
      <c r="DO148" s="179"/>
      <c r="DP148" s="179"/>
      <c r="DQ148" s="179"/>
      <c r="DR148" s="179"/>
      <c r="DS148" s="179"/>
      <c r="DT148" s="179"/>
      <c r="DU148" s="179"/>
      <c r="DV148" s="179"/>
      <c r="DW148" s="179"/>
      <c r="DX148" s="179"/>
      <c r="DY148" s="179"/>
      <c r="DZ148" s="179"/>
      <c r="EA148" s="179"/>
      <c r="EB148" s="179"/>
      <c r="EC148" s="179"/>
      <c r="ED148" s="179"/>
      <c r="EE148" s="179"/>
      <c r="EF148" s="179"/>
      <c r="EG148" s="179"/>
      <c r="EH148" s="179"/>
      <c r="EI148" s="179"/>
      <c r="EJ148" s="179"/>
      <c r="EK148" s="179"/>
      <c r="EL148" s="179"/>
      <c r="EM148" s="179"/>
      <c r="EN148" s="179"/>
      <c r="EO148" s="179"/>
      <c r="EP148" s="179"/>
      <c r="EQ148" s="179"/>
      <c r="ER148" s="179"/>
      <c r="ES148" s="179"/>
      <c r="ET148" s="179"/>
      <c r="EU148" s="179"/>
      <c r="EV148" s="179"/>
      <c r="EW148" s="179"/>
      <c r="EX148" s="179"/>
      <c r="EY148" s="179"/>
      <c r="EZ148" s="179"/>
      <c r="FA148" s="179"/>
      <c r="FB148" s="179"/>
      <c r="FC148" s="179"/>
      <c r="FD148" s="179"/>
      <c r="FE148" s="179"/>
      <c r="FF148" s="179"/>
      <c r="FG148" s="179"/>
      <c r="FH148" s="179"/>
      <c r="FI148" s="179"/>
      <c r="FJ148" s="179"/>
      <c r="FK148" s="179"/>
      <c r="FL148" s="179"/>
      <c r="FM148" s="179"/>
      <c r="FN148" s="179"/>
      <c r="FO148" s="179"/>
      <c r="FP148" s="179"/>
      <c r="FQ148" s="179"/>
      <c r="FR148" s="179"/>
      <c r="FS148" s="179"/>
      <c r="FT148" s="179"/>
      <c r="FU148" s="179"/>
      <c r="FV148" s="179"/>
      <c r="FW148" s="179"/>
      <c r="FX148" s="179"/>
      <c r="FY148" s="179"/>
      <c r="FZ148" s="179"/>
      <c r="GA148" s="179"/>
      <c r="GB148" s="179"/>
      <c r="GC148" s="179"/>
      <c r="GD148" s="179"/>
      <c r="GE148" s="179"/>
      <c r="GF148" s="179"/>
      <c r="GG148" s="179"/>
      <c r="GH148" s="179"/>
      <c r="GI148" s="179"/>
      <c r="GJ148" s="179"/>
      <c r="GK148" s="179"/>
      <c r="GL148" s="179"/>
      <c r="GM148" s="179"/>
      <c r="GN148" s="179"/>
      <c r="GO148" s="179"/>
      <c r="GP148" s="179"/>
      <c r="GQ148" s="179"/>
      <c r="GR148" s="179"/>
      <c r="GS148" s="179"/>
      <c r="GT148" s="179"/>
      <c r="GU148" s="179"/>
      <c r="GV148" s="179"/>
      <c r="GW148" s="179"/>
      <c r="GX148" s="179"/>
      <c r="GY148" s="179"/>
      <c r="GZ148" s="179"/>
      <c r="HA148" s="179"/>
      <c r="HB148" s="179"/>
      <c r="HC148" s="179"/>
      <c r="HD148" s="179"/>
      <c r="HE148" s="179"/>
      <c r="HF148" s="179"/>
      <c r="HG148" s="179"/>
      <c r="HH148" s="179"/>
      <c r="HI148" s="179"/>
      <c r="HJ148" s="179"/>
      <c r="HK148" s="179"/>
      <c r="HL148" s="179"/>
      <c r="HM148" s="179"/>
      <c r="HN148" s="179"/>
      <c r="HO148" s="179"/>
      <c r="HP148" s="179"/>
      <c r="HQ148" s="179"/>
      <c r="HR148" s="179"/>
      <c r="HS148" s="179"/>
      <c r="HT148" s="179"/>
      <c r="HU148" s="179"/>
      <c r="HV148" s="179"/>
      <c r="HW148" s="179"/>
      <c r="HX148" s="179"/>
      <c r="HY148" s="179"/>
      <c r="HZ148" s="179"/>
      <c r="IA148" s="179"/>
      <c r="IB148" s="179"/>
      <c r="IC148" s="179"/>
      <c r="ID148" s="179"/>
      <c r="IE148" s="179"/>
      <c r="IF148" s="179"/>
      <c r="IG148" s="179"/>
      <c r="IH148" s="179"/>
      <c r="II148" s="179"/>
      <c r="IJ148" s="179"/>
      <c r="IK148" s="179"/>
      <c r="IL148" s="179"/>
      <c r="IM148" s="179"/>
      <c r="IN148" s="179"/>
      <c r="IO148" s="179"/>
      <c r="IP148" s="179"/>
      <c r="IQ148" s="179"/>
    </row>
    <row r="149" spans="1:251">
      <c r="A149" s="218" t="s">
        <v>1598</v>
      </c>
      <c r="B149" s="193">
        <f>B146+B147+B148-B150</f>
        <v>622012.00999999989</v>
      </c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79"/>
      <c r="BN149" s="179"/>
      <c r="BO149" s="179"/>
      <c r="BP149" s="179"/>
      <c r="BQ149" s="179"/>
      <c r="BR149" s="179"/>
      <c r="BS149" s="179"/>
      <c r="BT149" s="179"/>
      <c r="BU149" s="179"/>
      <c r="BV149" s="179"/>
      <c r="BW149" s="179"/>
      <c r="BX149" s="179"/>
      <c r="BY149" s="179"/>
      <c r="BZ149" s="179"/>
      <c r="CA149" s="179"/>
      <c r="CB149" s="179"/>
      <c r="CC149" s="179"/>
      <c r="CD149" s="179"/>
      <c r="CE149" s="179"/>
      <c r="CF149" s="179"/>
      <c r="CG149" s="179"/>
      <c r="CH149" s="179"/>
      <c r="CI149" s="179"/>
      <c r="CJ149" s="179"/>
      <c r="CK149" s="179"/>
      <c r="CL149" s="179"/>
      <c r="CM149" s="179"/>
      <c r="CN149" s="179"/>
      <c r="CO149" s="179"/>
      <c r="CP149" s="179"/>
      <c r="CQ149" s="179"/>
      <c r="CR149" s="179"/>
      <c r="CS149" s="179"/>
      <c r="CT149" s="179"/>
      <c r="CU149" s="179"/>
      <c r="CV149" s="179"/>
      <c r="CW149" s="179"/>
      <c r="CX149" s="179"/>
      <c r="CY149" s="179"/>
      <c r="CZ149" s="179"/>
      <c r="DA149" s="179"/>
      <c r="DB149" s="179"/>
      <c r="DC149" s="179"/>
      <c r="DD149" s="179"/>
      <c r="DE149" s="179"/>
      <c r="DF149" s="179"/>
      <c r="DG149" s="179"/>
      <c r="DH149" s="179"/>
      <c r="DI149" s="179"/>
      <c r="DJ149" s="179"/>
      <c r="DK149" s="179"/>
      <c r="DL149" s="179"/>
      <c r="DM149" s="179"/>
      <c r="DN149" s="179"/>
      <c r="DO149" s="179"/>
      <c r="DP149" s="179"/>
      <c r="DQ149" s="179"/>
      <c r="DR149" s="179"/>
      <c r="DS149" s="179"/>
      <c r="DT149" s="179"/>
      <c r="DU149" s="179"/>
      <c r="DV149" s="179"/>
      <c r="DW149" s="179"/>
      <c r="DX149" s="179"/>
      <c r="DY149" s="179"/>
      <c r="DZ149" s="179"/>
      <c r="EA149" s="179"/>
      <c r="EB149" s="179"/>
      <c r="EC149" s="179"/>
      <c r="ED149" s="179"/>
      <c r="EE149" s="179"/>
      <c r="EF149" s="179"/>
      <c r="EG149" s="179"/>
      <c r="EH149" s="179"/>
      <c r="EI149" s="179"/>
      <c r="EJ149" s="179"/>
      <c r="EK149" s="179"/>
      <c r="EL149" s="179"/>
      <c r="EM149" s="179"/>
      <c r="EN149" s="179"/>
      <c r="EO149" s="179"/>
      <c r="EP149" s="179"/>
      <c r="EQ149" s="179"/>
      <c r="ER149" s="179"/>
      <c r="ES149" s="179"/>
      <c r="ET149" s="179"/>
      <c r="EU149" s="179"/>
      <c r="EV149" s="179"/>
      <c r="EW149" s="179"/>
      <c r="EX149" s="179"/>
      <c r="EY149" s="179"/>
      <c r="EZ149" s="179"/>
      <c r="FA149" s="179"/>
      <c r="FB149" s="179"/>
      <c r="FC149" s="179"/>
      <c r="FD149" s="179"/>
      <c r="FE149" s="179"/>
      <c r="FF149" s="179"/>
      <c r="FG149" s="179"/>
      <c r="FH149" s="179"/>
      <c r="FI149" s="179"/>
      <c r="FJ149" s="179"/>
      <c r="FK149" s="179"/>
      <c r="FL149" s="179"/>
      <c r="FM149" s="179"/>
      <c r="FN149" s="179"/>
      <c r="FO149" s="179"/>
      <c r="FP149" s="179"/>
      <c r="FQ149" s="179"/>
      <c r="FR149" s="179"/>
      <c r="FS149" s="179"/>
      <c r="FT149" s="179"/>
      <c r="FU149" s="179"/>
      <c r="FV149" s="179"/>
      <c r="FW149" s="179"/>
      <c r="FX149" s="179"/>
      <c r="FY149" s="179"/>
      <c r="FZ149" s="179"/>
      <c r="GA149" s="179"/>
      <c r="GB149" s="179"/>
      <c r="GC149" s="179"/>
      <c r="GD149" s="179"/>
      <c r="GE149" s="179"/>
      <c r="GF149" s="179"/>
      <c r="GG149" s="179"/>
      <c r="GH149" s="179"/>
      <c r="GI149" s="179"/>
      <c r="GJ149" s="179"/>
      <c r="GK149" s="179"/>
      <c r="GL149" s="179"/>
      <c r="GM149" s="179"/>
      <c r="GN149" s="179"/>
      <c r="GO149" s="179"/>
      <c r="GP149" s="179"/>
      <c r="GQ149" s="179"/>
      <c r="GR149" s="179"/>
      <c r="GS149" s="179"/>
      <c r="GT149" s="179"/>
      <c r="GU149" s="179"/>
      <c r="GV149" s="179"/>
      <c r="GW149" s="179"/>
      <c r="GX149" s="179"/>
      <c r="GY149" s="179"/>
      <c r="GZ149" s="179"/>
      <c r="HA149" s="179"/>
      <c r="HB149" s="179"/>
      <c r="HC149" s="179"/>
      <c r="HD149" s="179"/>
      <c r="HE149" s="179"/>
      <c r="HF149" s="179"/>
      <c r="HG149" s="179"/>
      <c r="HH149" s="179"/>
      <c r="HI149" s="179"/>
      <c r="HJ149" s="179"/>
      <c r="HK149" s="179"/>
      <c r="HL149" s="179"/>
      <c r="HM149" s="179"/>
      <c r="HN149" s="179"/>
      <c r="HO149" s="179"/>
      <c r="HP149" s="179"/>
      <c r="HQ149" s="179"/>
      <c r="HR149" s="179"/>
      <c r="HS149" s="179"/>
      <c r="HT149" s="179"/>
      <c r="HU149" s="179"/>
      <c r="HV149" s="179"/>
      <c r="HW149" s="179"/>
      <c r="HX149" s="179"/>
      <c r="HY149" s="179"/>
      <c r="HZ149" s="179"/>
      <c r="IA149" s="179"/>
      <c r="IB149" s="179"/>
      <c r="IC149" s="179"/>
      <c r="ID149" s="179"/>
      <c r="IE149" s="179"/>
      <c r="IF149" s="179"/>
      <c r="IG149" s="179"/>
      <c r="IH149" s="179"/>
      <c r="II149" s="179"/>
      <c r="IJ149" s="179"/>
      <c r="IK149" s="179"/>
      <c r="IL149" s="179"/>
      <c r="IM149" s="179"/>
      <c r="IN149" s="179"/>
      <c r="IO149" s="179"/>
      <c r="IP149" s="179"/>
      <c r="IQ149" s="179"/>
    </row>
    <row r="150" spans="1:251">
      <c r="A150" s="218" t="s">
        <v>1597</v>
      </c>
      <c r="B150" s="193">
        <v>210278.04</v>
      </c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79"/>
      <c r="CU150" s="179"/>
      <c r="CV150" s="179"/>
      <c r="CW150" s="179"/>
      <c r="CX150" s="179"/>
      <c r="CY150" s="179"/>
      <c r="CZ150" s="179"/>
      <c r="DA150" s="179"/>
      <c r="DB150" s="179"/>
      <c r="DC150" s="179"/>
      <c r="DD150" s="179"/>
      <c r="DE150" s="179"/>
      <c r="DF150" s="179"/>
      <c r="DG150" s="179"/>
      <c r="DH150" s="179"/>
      <c r="DI150" s="179"/>
      <c r="DJ150" s="179"/>
      <c r="DK150" s="179"/>
      <c r="DL150" s="179"/>
      <c r="DM150" s="179"/>
      <c r="DN150" s="179"/>
      <c r="DO150" s="179"/>
      <c r="DP150" s="179"/>
      <c r="DQ150" s="179"/>
      <c r="DR150" s="179"/>
      <c r="DS150" s="179"/>
      <c r="DT150" s="179"/>
      <c r="DU150" s="179"/>
      <c r="DV150" s="179"/>
      <c r="DW150" s="179"/>
      <c r="DX150" s="179"/>
      <c r="DY150" s="179"/>
      <c r="DZ150" s="179"/>
      <c r="EA150" s="179"/>
      <c r="EB150" s="179"/>
      <c r="EC150" s="179"/>
      <c r="ED150" s="179"/>
      <c r="EE150" s="179"/>
      <c r="EF150" s="179"/>
      <c r="EG150" s="179"/>
      <c r="EH150" s="179"/>
      <c r="EI150" s="179"/>
      <c r="EJ150" s="179"/>
      <c r="EK150" s="179"/>
      <c r="EL150" s="179"/>
      <c r="EM150" s="179"/>
      <c r="EN150" s="179"/>
      <c r="EO150" s="179"/>
      <c r="EP150" s="179"/>
      <c r="EQ150" s="179"/>
      <c r="ER150" s="179"/>
      <c r="ES150" s="179"/>
      <c r="ET150" s="179"/>
      <c r="EU150" s="179"/>
      <c r="EV150" s="179"/>
      <c r="EW150" s="179"/>
      <c r="EX150" s="179"/>
      <c r="EY150" s="179"/>
      <c r="EZ150" s="179"/>
      <c r="FA150" s="179"/>
      <c r="FB150" s="179"/>
      <c r="FC150" s="179"/>
      <c r="FD150" s="179"/>
      <c r="FE150" s="179"/>
      <c r="FF150" s="179"/>
      <c r="FG150" s="179"/>
      <c r="FH150" s="179"/>
      <c r="FI150" s="179"/>
      <c r="FJ150" s="179"/>
      <c r="FK150" s="179"/>
      <c r="FL150" s="179"/>
      <c r="FM150" s="179"/>
      <c r="FN150" s="179"/>
      <c r="FO150" s="179"/>
      <c r="FP150" s="179"/>
      <c r="FQ150" s="179"/>
      <c r="FR150" s="179"/>
      <c r="FS150" s="179"/>
      <c r="FT150" s="179"/>
      <c r="FU150" s="179"/>
      <c r="FV150" s="179"/>
      <c r="FW150" s="179"/>
      <c r="FX150" s="179"/>
      <c r="FY150" s="179"/>
      <c r="FZ150" s="179"/>
      <c r="GA150" s="179"/>
      <c r="GB150" s="179"/>
      <c r="GC150" s="179"/>
      <c r="GD150" s="179"/>
      <c r="GE150" s="179"/>
      <c r="GF150" s="179"/>
      <c r="GG150" s="179"/>
      <c r="GH150" s="179"/>
      <c r="GI150" s="179"/>
      <c r="GJ150" s="179"/>
      <c r="GK150" s="179"/>
      <c r="GL150" s="179"/>
      <c r="GM150" s="179"/>
      <c r="GN150" s="179"/>
      <c r="GO150" s="179"/>
      <c r="GP150" s="179"/>
      <c r="GQ150" s="179"/>
      <c r="GR150" s="179"/>
      <c r="GS150" s="179"/>
      <c r="GT150" s="179"/>
      <c r="GU150" s="179"/>
      <c r="GV150" s="179"/>
      <c r="GW150" s="179"/>
      <c r="GX150" s="179"/>
      <c r="GY150" s="179"/>
      <c r="GZ150" s="179"/>
      <c r="HA150" s="179"/>
      <c r="HB150" s="179"/>
      <c r="HC150" s="179"/>
      <c r="HD150" s="179"/>
      <c r="HE150" s="179"/>
      <c r="HF150" s="179"/>
      <c r="HG150" s="179"/>
      <c r="HH150" s="179"/>
      <c r="HI150" s="179"/>
      <c r="HJ150" s="179"/>
      <c r="HK150" s="179"/>
      <c r="HL150" s="179"/>
      <c r="HM150" s="179"/>
      <c r="HN150" s="179"/>
      <c r="HO150" s="179"/>
      <c r="HP150" s="179"/>
      <c r="HQ150" s="179"/>
      <c r="HR150" s="179"/>
      <c r="HS150" s="179"/>
      <c r="HT150" s="179"/>
      <c r="HU150" s="179"/>
      <c r="HV150" s="179"/>
      <c r="HW150" s="179"/>
      <c r="HX150" s="179"/>
      <c r="HY150" s="179"/>
      <c r="HZ150" s="179"/>
      <c r="IA150" s="179"/>
      <c r="IB150" s="179"/>
      <c r="IC150" s="179"/>
      <c r="ID150" s="179"/>
      <c r="IE150" s="179"/>
      <c r="IF150" s="179"/>
      <c r="IG150" s="179"/>
      <c r="IH150" s="179"/>
      <c r="II150" s="179"/>
      <c r="IJ150" s="179"/>
      <c r="IK150" s="179"/>
      <c r="IL150" s="179"/>
      <c r="IM150" s="179"/>
      <c r="IN150" s="179"/>
      <c r="IO150" s="179"/>
      <c r="IP150" s="179"/>
      <c r="IQ150" s="179"/>
    </row>
    <row r="151" spans="1:251" ht="29.25" customHeight="1">
      <c r="A151" s="216" t="s">
        <v>2025</v>
      </c>
      <c r="B151" s="196">
        <f>B149</f>
        <v>622012.00999999989</v>
      </c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9"/>
      <c r="CM151" s="179"/>
      <c r="CN151" s="179"/>
      <c r="CO151" s="179"/>
      <c r="CP151" s="179"/>
      <c r="CQ151" s="179"/>
      <c r="CR151" s="179"/>
      <c r="CS151" s="179"/>
      <c r="CT151" s="179"/>
      <c r="CU151" s="179"/>
      <c r="CV151" s="179"/>
      <c r="CW151" s="179"/>
      <c r="CX151" s="179"/>
      <c r="CY151" s="179"/>
      <c r="CZ151" s="179"/>
      <c r="DA151" s="179"/>
      <c r="DB151" s="179"/>
      <c r="DC151" s="179"/>
      <c r="DD151" s="179"/>
      <c r="DE151" s="179"/>
      <c r="DF151" s="179"/>
      <c r="DG151" s="179"/>
      <c r="DH151" s="179"/>
      <c r="DI151" s="179"/>
      <c r="DJ151" s="179"/>
      <c r="DK151" s="179"/>
      <c r="DL151" s="179"/>
      <c r="DM151" s="179"/>
      <c r="DN151" s="179"/>
      <c r="DO151" s="179"/>
      <c r="DP151" s="179"/>
      <c r="DQ151" s="179"/>
      <c r="DR151" s="179"/>
      <c r="DS151" s="179"/>
      <c r="DT151" s="179"/>
      <c r="DU151" s="179"/>
      <c r="DV151" s="179"/>
      <c r="DW151" s="179"/>
      <c r="DX151" s="179"/>
      <c r="DY151" s="179"/>
      <c r="DZ151" s="179"/>
      <c r="EA151" s="179"/>
      <c r="EB151" s="179"/>
      <c r="EC151" s="179"/>
      <c r="ED151" s="179"/>
      <c r="EE151" s="179"/>
      <c r="EF151" s="179"/>
      <c r="EG151" s="179"/>
      <c r="EH151" s="179"/>
      <c r="EI151" s="179"/>
      <c r="EJ151" s="179"/>
      <c r="EK151" s="179"/>
      <c r="EL151" s="179"/>
      <c r="EM151" s="179"/>
      <c r="EN151" s="179"/>
      <c r="EO151" s="179"/>
      <c r="EP151" s="179"/>
      <c r="EQ151" s="179"/>
      <c r="ER151" s="179"/>
      <c r="ES151" s="179"/>
      <c r="ET151" s="179"/>
      <c r="EU151" s="179"/>
      <c r="EV151" s="179"/>
      <c r="EW151" s="179"/>
      <c r="EX151" s="179"/>
      <c r="EY151" s="179"/>
      <c r="EZ151" s="179"/>
      <c r="FA151" s="179"/>
      <c r="FB151" s="179"/>
      <c r="FC151" s="179"/>
      <c r="FD151" s="179"/>
      <c r="FE151" s="179"/>
      <c r="FF151" s="179"/>
      <c r="FG151" s="179"/>
      <c r="FH151" s="179"/>
      <c r="FI151" s="179"/>
      <c r="FJ151" s="179"/>
      <c r="FK151" s="179"/>
      <c r="FL151" s="179"/>
      <c r="FM151" s="179"/>
      <c r="FN151" s="179"/>
      <c r="FO151" s="179"/>
      <c r="FP151" s="179"/>
      <c r="FQ151" s="179"/>
      <c r="FR151" s="179"/>
      <c r="FS151" s="179"/>
      <c r="FT151" s="179"/>
      <c r="FU151" s="179"/>
      <c r="FV151" s="179"/>
      <c r="FW151" s="179"/>
      <c r="FX151" s="179"/>
      <c r="FY151" s="179"/>
      <c r="FZ151" s="179"/>
      <c r="GA151" s="179"/>
      <c r="GB151" s="179"/>
      <c r="GC151" s="179"/>
      <c r="GD151" s="179"/>
      <c r="GE151" s="179"/>
      <c r="GF151" s="179"/>
      <c r="GG151" s="179"/>
      <c r="GH151" s="179"/>
      <c r="GI151" s="179"/>
      <c r="GJ151" s="179"/>
      <c r="GK151" s="179"/>
      <c r="GL151" s="179"/>
      <c r="GM151" s="179"/>
      <c r="GN151" s="179"/>
      <c r="GO151" s="179"/>
      <c r="GP151" s="179"/>
      <c r="GQ151" s="179"/>
      <c r="GR151" s="179"/>
      <c r="GS151" s="179"/>
      <c r="GT151" s="179"/>
      <c r="GU151" s="179"/>
      <c r="GV151" s="179"/>
      <c r="GW151" s="179"/>
      <c r="GX151" s="179"/>
      <c r="GY151" s="179"/>
      <c r="GZ151" s="179"/>
      <c r="HA151" s="179"/>
      <c r="HB151" s="179"/>
      <c r="HC151" s="179"/>
      <c r="HD151" s="179"/>
      <c r="HE151" s="179"/>
      <c r="HF151" s="179"/>
      <c r="HG151" s="179"/>
      <c r="HH151" s="179"/>
      <c r="HI151" s="179"/>
      <c r="HJ151" s="179"/>
      <c r="HK151" s="179"/>
      <c r="HL151" s="179"/>
      <c r="HM151" s="179"/>
      <c r="HN151" s="179"/>
      <c r="HO151" s="179"/>
      <c r="HP151" s="179"/>
      <c r="HQ151" s="179"/>
      <c r="HR151" s="179"/>
      <c r="HS151" s="179"/>
      <c r="HT151" s="179"/>
      <c r="HU151" s="179"/>
      <c r="HV151" s="179"/>
      <c r="HW151" s="179"/>
      <c r="HX151" s="179"/>
      <c r="HY151" s="179"/>
      <c r="HZ151" s="179"/>
      <c r="IA151" s="179"/>
      <c r="IB151" s="179"/>
      <c r="IC151" s="179"/>
      <c r="ID151" s="179"/>
      <c r="IE151" s="179"/>
      <c r="IF151" s="179"/>
      <c r="IG151" s="179"/>
      <c r="IH151" s="179"/>
      <c r="II151" s="179"/>
      <c r="IJ151" s="179"/>
      <c r="IK151" s="179"/>
      <c r="IL151" s="179"/>
      <c r="IM151" s="179"/>
      <c r="IN151" s="179"/>
      <c r="IO151" s="179"/>
      <c r="IP151" s="179"/>
      <c r="IQ151" s="179"/>
    </row>
    <row r="152" spans="1:251">
      <c r="A152" s="179"/>
      <c r="B152" s="213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9"/>
      <c r="CM152" s="179"/>
      <c r="CN152" s="179"/>
      <c r="CO152" s="179"/>
      <c r="CP152" s="179"/>
      <c r="CQ152" s="179"/>
      <c r="CR152" s="179"/>
      <c r="CS152" s="179"/>
      <c r="CT152" s="179"/>
      <c r="CU152" s="179"/>
      <c r="CV152" s="179"/>
      <c r="CW152" s="179"/>
      <c r="CX152" s="179"/>
      <c r="CY152" s="179"/>
      <c r="CZ152" s="179"/>
      <c r="DA152" s="179"/>
      <c r="DB152" s="179"/>
      <c r="DC152" s="179"/>
      <c r="DD152" s="179"/>
      <c r="DE152" s="179"/>
      <c r="DF152" s="179"/>
      <c r="DG152" s="179"/>
      <c r="DH152" s="179"/>
      <c r="DI152" s="179"/>
      <c r="DJ152" s="179"/>
      <c r="DK152" s="179"/>
      <c r="DL152" s="179"/>
      <c r="DM152" s="179"/>
      <c r="DN152" s="179"/>
      <c r="DO152" s="179"/>
      <c r="DP152" s="179"/>
      <c r="DQ152" s="179"/>
      <c r="DR152" s="179"/>
      <c r="DS152" s="179"/>
      <c r="DT152" s="179"/>
      <c r="DU152" s="179"/>
      <c r="DV152" s="179"/>
      <c r="DW152" s="179"/>
      <c r="DX152" s="179"/>
      <c r="DY152" s="179"/>
      <c r="DZ152" s="179"/>
      <c r="EA152" s="179"/>
      <c r="EB152" s="179"/>
      <c r="EC152" s="179"/>
      <c r="ED152" s="179"/>
      <c r="EE152" s="179"/>
      <c r="EF152" s="179"/>
      <c r="EG152" s="179"/>
      <c r="EH152" s="179"/>
      <c r="EI152" s="179"/>
      <c r="EJ152" s="179"/>
      <c r="EK152" s="179"/>
      <c r="EL152" s="179"/>
      <c r="EM152" s="179"/>
      <c r="EN152" s="179"/>
      <c r="EO152" s="179"/>
      <c r="EP152" s="179"/>
      <c r="EQ152" s="179"/>
      <c r="ER152" s="179"/>
      <c r="ES152" s="179"/>
      <c r="ET152" s="179"/>
      <c r="EU152" s="179"/>
      <c r="EV152" s="179"/>
      <c r="EW152" s="179"/>
      <c r="EX152" s="179"/>
      <c r="EY152" s="179"/>
      <c r="EZ152" s="179"/>
      <c r="FA152" s="179"/>
      <c r="FB152" s="179"/>
      <c r="FC152" s="179"/>
      <c r="FD152" s="179"/>
      <c r="FE152" s="179"/>
      <c r="FF152" s="179"/>
      <c r="FG152" s="179"/>
      <c r="FH152" s="179"/>
      <c r="FI152" s="179"/>
      <c r="FJ152" s="179"/>
      <c r="FK152" s="179"/>
      <c r="FL152" s="179"/>
      <c r="FM152" s="179"/>
      <c r="FN152" s="179"/>
      <c r="FO152" s="179"/>
      <c r="FP152" s="179"/>
      <c r="FQ152" s="179"/>
      <c r="FR152" s="179"/>
      <c r="FS152" s="179"/>
      <c r="FT152" s="179"/>
      <c r="FU152" s="179"/>
      <c r="FV152" s="179"/>
      <c r="FW152" s="179"/>
      <c r="FX152" s="179"/>
      <c r="FY152" s="179"/>
      <c r="FZ152" s="179"/>
      <c r="GA152" s="179"/>
      <c r="GB152" s="179"/>
      <c r="GC152" s="179"/>
      <c r="GD152" s="179"/>
      <c r="GE152" s="179"/>
      <c r="GF152" s="179"/>
      <c r="GG152" s="179"/>
      <c r="GH152" s="179"/>
      <c r="GI152" s="179"/>
      <c r="GJ152" s="179"/>
      <c r="GK152" s="179"/>
      <c r="GL152" s="179"/>
      <c r="GM152" s="179"/>
      <c r="GN152" s="179"/>
      <c r="GO152" s="179"/>
      <c r="GP152" s="179"/>
      <c r="GQ152" s="179"/>
      <c r="GR152" s="179"/>
      <c r="GS152" s="179"/>
      <c r="GT152" s="179"/>
      <c r="GU152" s="179"/>
      <c r="GV152" s="179"/>
      <c r="GW152" s="179"/>
      <c r="GX152" s="179"/>
      <c r="GY152" s="179"/>
      <c r="GZ152" s="179"/>
      <c r="HA152" s="179"/>
      <c r="HB152" s="179"/>
      <c r="HC152" s="179"/>
      <c r="HD152" s="179"/>
      <c r="HE152" s="179"/>
      <c r="HF152" s="179"/>
      <c r="HG152" s="179"/>
      <c r="HH152" s="179"/>
      <c r="HI152" s="179"/>
      <c r="HJ152" s="179"/>
      <c r="HK152" s="179"/>
      <c r="HL152" s="179"/>
      <c r="HM152" s="179"/>
      <c r="HN152" s="179"/>
      <c r="HO152" s="179"/>
      <c r="HP152" s="179"/>
      <c r="HQ152" s="179"/>
      <c r="HR152" s="179"/>
      <c r="HS152" s="179"/>
      <c r="HT152" s="179"/>
      <c r="HU152" s="179"/>
      <c r="HV152" s="179"/>
      <c r="HW152" s="179"/>
      <c r="HX152" s="179"/>
      <c r="HY152" s="179"/>
      <c r="HZ152" s="179"/>
      <c r="IA152" s="179"/>
      <c r="IB152" s="179"/>
      <c r="IC152" s="179"/>
      <c r="ID152" s="179"/>
      <c r="IE152" s="179"/>
      <c r="IF152" s="179"/>
      <c r="IG152" s="179"/>
      <c r="IH152" s="179"/>
      <c r="II152" s="179"/>
      <c r="IJ152" s="179"/>
      <c r="IK152" s="179"/>
      <c r="IL152" s="179"/>
      <c r="IM152" s="179"/>
      <c r="IN152" s="179"/>
      <c r="IO152" s="179"/>
      <c r="IP152" s="179"/>
      <c r="IQ152" s="179"/>
    </row>
    <row r="153" spans="1:251">
      <c r="A153" s="324" t="s">
        <v>1130</v>
      </c>
      <c r="B153" s="198">
        <f>B155+B157+B158+B160+B162+B164+B163+B156+B159+B165</f>
        <v>572383.64259948686</v>
      </c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9"/>
      <c r="CM153" s="179"/>
      <c r="CN153" s="179"/>
      <c r="CO153" s="179"/>
      <c r="CP153" s="179"/>
      <c r="CQ153" s="179"/>
      <c r="CR153" s="179"/>
      <c r="CS153" s="179"/>
      <c r="CT153" s="179"/>
      <c r="CU153" s="179"/>
      <c r="CV153" s="179"/>
      <c r="CW153" s="179"/>
      <c r="CX153" s="179"/>
      <c r="CY153" s="179"/>
      <c r="CZ153" s="179"/>
      <c r="DA153" s="179"/>
      <c r="DB153" s="179"/>
      <c r="DC153" s="179"/>
      <c r="DD153" s="179"/>
      <c r="DE153" s="179"/>
      <c r="DF153" s="179"/>
      <c r="DG153" s="179"/>
      <c r="DH153" s="179"/>
      <c r="DI153" s="179"/>
      <c r="DJ153" s="179"/>
      <c r="DK153" s="179"/>
      <c r="DL153" s="179"/>
      <c r="DM153" s="179"/>
      <c r="DN153" s="179"/>
      <c r="DO153" s="179"/>
      <c r="DP153" s="179"/>
      <c r="DQ153" s="179"/>
      <c r="DR153" s="179"/>
      <c r="DS153" s="179"/>
      <c r="DT153" s="179"/>
      <c r="DU153" s="179"/>
      <c r="DV153" s="179"/>
      <c r="DW153" s="179"/>
      <c r="DX153" s="179"/>
      <c r="DY153" s="179"/>
      <c r="DZ153" s="179"/>
      <c r="EA153" s="179"/>
      <c r="EB153" s="179"/>
      <c r="EC153" s="179"/>
      <c r="ED153" s="179"/>
      <c r="EE153" s="179"/>
      <c r="EF153" s="179"/>
      <c r="EG153" s="179"/>
      <c r="EH153" s="179"/>
      <c r="EI153" s="179"/>
      <c r="EJ153" s="179"/>
      <c r="EK153" s="179"/>
      <c r="EL153" s="179"/>
      <c r="EM153" s="179"/>
      <c r="EN153" s="179"/>
      <c r="EO153" s="179"/>
      <c r="EP153" s="179"/>
      <c r="EQ153" s="179"/>
      <c r="ER153" s="179"/>
      <c r="ES153" s="179"/>
      <c r="ET153" s="179"/>
      <c r="EU153" s="179"/>
      <c r="EV153" s="179"/>
      <c r="EW153" s="179"/>
      <c r="EX153" s="179"/>
      <c r="EY153" s="179"/>
      <c r="EZ153" s="179"/>
      <c r="FA153" s="179"/>
      <c r="FB153" s="179"/>
      <c r="FC153" s="179"/>
      <c r="FD153" s="179"/>
      <c r="FE153" s="179"/>
      <c r="FF153" s="179"/>
      <c r="FG153" s="179"/>
      <c r="FH153" s="179"/>
      <c r="FI153" s="179"/>
      <c r="FJ153" s="179"/>
      <c r="FK153" s="179"/>
      <c r="FL153" s="179"/>
      <c r="FM153" s="179"/>
      <c r="FN153" s="179"/>
      <c r="FO153" s="179"/>
      <c r="FP153" s="179"/>
      <c r="FQ153" s="179"/>
      <c r="FR153" s="179"/>
      <c r="FS153" s="179"/>
      <c r="FT153" s="179"/>
      <c r="FU153" s="179"/>
      <c r="FV153" s="179"/>
      <c r="FW153" s="179"/>
      <c r="FX153" s="179"/>
      <c r="FY153" s="179"/>
      <c r="FZ153" s="179"/>
      <c r="GA153" s="179"/>
      <c r="GB153" s="179"/>
      <c r="GC153" s="179"/>
      <c r="GD153" s="179"/>
      <c r="GE153" s="179"/>
      <c r="GF153" s="179"/>
      <c r="GG153" s="179"/>
      <c r="GH153" s="179"/>
      <c r="GI153" s="179"/>
      <c r="GJ153" s="179"/>
      <c r="GK153" s="179"/>
      <c r="GL153" s="179"/>
      <c r="GM153" s="179"/>
      <c r="GN153" s="179"/>
      <c r="GO153" s="179"/>
      <c r="GP153" s="179"/>
      <c r="GQ153" s="179"/>
      <c r="GR153" s="179"/>
      <c r="GS153" s="179"/>
      <c r="GT153" s="179"/>
      <c r="GU153" s="179"/>
      <c r="GV153" s="179"/>
      <c r="GW153" s="179"/>
      <c r="GX153" s="179"/>
      <c r="GY153" s="179"/>
      <c r="GZ153" s="179"/>
      <c r="HA153" s="179"/>
      <c r="HB153" s="179"/>
      <c r="HC153" s="179"/>
      <c r="HD153" s="179"/>
      <c r="HE153" s="179"/>
      <c r="HF153" s="179"/>
      <c r="HG153" s="179"/>
      <c r="HH153" s="179"/>
      <c r="HI153" s="179"/>
      <c r="HJ153" s="179"/>
      <c r="HK153" s="179"/>
      <c r="HL153" s="179"/>
      <c r="HM153" s="179"/>
      <c r="HN153" s="179"/>
      <c r="HO153" s="179"/>
      <c r="HP153" s="179"/>
      <c r="HQ153" s="179"/>
      <c r="HR153" s="179"/>
      <c r="HS153" s="179"/>
      <c r="HT153" s="179"/>
      <c r="HU153" s="179"/>
      <c r="HV153" s="179"/>
      <c r="HW153" s="179"/>
      <c r="HX153" s="179"/>
      <c r="HY153" s="179"/>
      <c r="HZ153" s="179"/>
      <c r="IA153" s="179"/>
      <c r="IB153" s="179"/>
      <c r="IC153" s="179"/>
      <c r="ID153" s="179"/>
      <c r="IE153" s="179"/>
      <c r="IF153" s="179"/>
      <c r="IG153" s="179"/>
      <c r="IH153" s="179"/>
      <c r="II153" s="179"/>
      <c r="IJ153" s="179"/>
      <c r="IK153" s="179"/>
      <c r="IL153" s="179"/>
      <c r="IM153" s="179"/>
      <c r="IN153" s="179"/>
      <c r="IO153" s="179"/>
      <c r="IP153" s="179"/>
      <c r="IQ153" s="179"/>
    </row>
    <row r="154" spans="1:251">
      <c r="A154" s="325" t="s">
        <v>599</v>
      </c>
      <c r="B154" s="193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79"/>
      <c r="CM154" s="179"/>
      <c r="CN154" s="179"/>
      <c r="CO154" s="179"/>
      <c r="CP154" s="179"/>
      <c r="CQ154" s="179"/>
      <c r="CR154" s="179"/>
      <c r="CS154" s="179"/>
      <c r="CT154" s="179"/>
      <c r="CU154" s="179"/>
      <c r="CV154" s="179"/>
      <c r="CW154" s="179"/>
      <c r="CX154" s="179"/>
      <c r="CY154" s="179"/>
      <c r="CZ154" s="179"/>
      <c r="DA154" s="179"/>
      <c r="DB154" s="179"/>
      <c r="DC154" s="179"/>
      <c r="DD154" s="179"/>
      <c r="DE154" s="179"/>
      <c r="DF154" s="179"/>
      <c r="DG154" s="179"/>
      <c r="DH154" s="179"/>
      <c r="DI154" s="179"/>
      <c r="DJ154" s="179"/>
      <c r="DK154" s="179"/>
      <c r="DL154" s="179"/>
      <c r="DM154" s="179"/>
      <c r="DN154" s="179"/>
      <c r="DO154" s="179"/>
      <c r="DP154" s="179"/>
      <c r="DQ154" s="179"/>
      <c r="DR154" s="179"/>
      <c r="DS154" s="179"/>
      <c r="DT154" s="179"/>
      <c r="DU154" s="179"/>
      <c r="DV154" s="179"/>
      <c r="DW154" s="179"/>
      <c r="DX154" s="179"/>
      <c r="DY154" s="179"/>
      <c r="DZ154" s="179"/>
      <c r="EA154" s="179"/>
      <c r="EB154" s="179"/>
      <c r="EC154" s="179"/>
      <c r="ED154" s="179"/>
      <c r="EE154" s="179"/>
      <c r="EF154" s="179"/>
      <c r="EG154" s="179"/>
      <c r="EH154" s="179"/>
      <c r="EI154" s="179"/>
      <c r="EJ154" s="179"/>
      <c r="EK154" s="179"/>
      <c r="EL154" s="179"/>
      <c r="EM154" s="179"/>
      <c r="EN154" s="179"/>
      <c r="EO154" s="179"/>
      <c r="EP154" s="179"/>
      <c r="EQ154" s="179"/>
      <c r="ER154" s="179"/>
      <c r="ES154" s="179"/>
      <c r="ET154" s="179"/>
      <c r="EU154" s="179"/>
      <c r="EV154" s="179"/>
      <c r="EW154" s="179"/>
      <c r="EX154" s="179"/>
      <c r="EY154" s="179"/>
      <c r="EZ154" s="179"/>
      <c r="FA154" s="179"/>
      <c r="FB154" s="179"/>
      <c r="FC154" s="179"/>
      <c r="FD154" s="179"/>
      <c r="FE154" s="179"/>
      <c r="FF154" s="179"/>
      <c r="FG154" s="179"/>
      <c r="FH154" s="179"/>
      <c r="FI154" s="179"/>
      <c r="FJ154" s="179"/>
      <c r="FK154" s="179"/>
      <c r="FL154" s="179"/>
      <c r="FM154" s="179"/>
      <c r="FN154" s="179"/>
      <c r="FO154" s="179"/>
      <c r="FP154" s="179"/>
      <c r="FQ154" s="179"/>
      <c r="FR154" s="179"/>
      <c r="FS154" s="179"/>
      <c r="FT154" s="179"/>
      <c r="FU154" s="179"/>
      <c r="FV154" s="179"/>
      <c r="FW154" s="179"/>
      <c r="FX154" s="179"/>
      <c r="FY154" s="179"/>
      <c r="FZ154" s="179"/>
      <c r="GA154" s="179"/>
      <c r="GB154" s="179"/>
      <c r="GC154" s="179"/>
      <c r="GD154" s="179"/>
      <c r="GE154" s="179"/>
      <c r="GF154" s="179"/>
      <c r="GG154" s="179"/>
      <c r="GH154" s="179"/>
      <c r="GI154" s="179"/>
      <c r="GJ154" s="179"/>
      <c r="GK154" s="179"/>
      <c r="GL154" s="179"/>
      <c r="GM154" s="179"/>
      <c r="GN154" s="179"/>
      <c r="GO154" s="179"/>
      <c r="GP154" s="179"/>
      <c r="GQ154" s="179"/>
      <c r="GR154" s="179"/>
      <c r="GS154" s="179"/>
      <c r="GT154" s="179"/>
      <c r="GU154" s="179"/>
      <c r="GV154" s="179"/>
      <c r="GW154" s="179"/>
      <c r="GX154" s="179"/>
      <c r="GY154" s="179"/>
      <c r="GZ154" s="179"/>
      <c r="HA154" s="179"/>
      <c r="HB154" s="179"/>
      <c r="HC154" s="179"/>
      <c r="HD154" s="179"/>
      <c r="HE154" s="179"/>
      <c r="HF154" s="179"/>
      <c r="HG154" s="179"/>
      <c r="HH154" s="179"/>
      <c r="HI154" s="179"/>
      <c r="HJ154" s="179"/>
      <c r="HK154" s="179"/>
      <c r="HL154" s="179"/>
      <c r="HM154" s="179"/>
      <c r="HN154" s="179"/>
      <c r="HO154" s="179"/>
      <c r="HP154" s="179"/>
      <c r="HQ154" s="179"/>
      <c r="HR154" s="179"/>
      <c r="HS154" s="179"/>
      <c r="HT154" s="179"/>
      <c r="HU154" s="179"/>
      <c r="HV154" s="179"/>
      <c r="HW154" s="179"/>
      <c r="HX154" s="179"/>
      <c r="HY154" s="179"/>
      <c r="HZ154" s="179"/>
      <c r="IA154" s="179"/>
      <c r="IB154" s="179"/>
      <c r="IC154" s="179"/>
      <c r="ID154" s="179"/>
      <c r="IE154" s="179"/>
      <c r="IF154" s="179"/>
      <c r="IG154" s="179"/>
      <c r="IH154" s="179"/>
      <c r="II154" s="179"/>
      <c r="IJ154" s="179"/>
      <c r="IK154" s="179"/>
      <c r="IL154" s="179"/>
      <c r="IM154" s="179"/>
      <c r="IN154" s="179"/>
      <c r="IO154" s="179"/>
      <c r="IP154" s="179"/>
      <c r="IQ154" s="179"/>
    </row>
    <row r="155" spans="1:251" s="466" customFormat="1">
      <c r="A155" s="325" t="s">
        <v>521</v>
      </c>
      <c r="B155" s="194">
        <f>959300/45797.5*B144*1.5</f>
        <v>101673.02259948687</v>
      </c>
      <c r="C155" s="465"/>
      <c r="D155" s="465"/>
      <c r="E155" s="465"/>
      <c r="F155" s="465"/>
      <c r="G155" s="465"/>
      <c r="H155" s="465"/>
      <c r="I155" s="465"/>
      <c r="J155" s="465"/>
      <c r="K155" s="465"/>
      <c r="L155" s="465"/>
      <c r="M155" s="465"/>
      <c r="N155" s="465"/>
      <c r="O155" s="465"/>
      <c r="P155" s="465"/>
      <c r="Q155" s="465"/>
      <c r="R155" s="465"/>
      <c r="S155" s="465"/>
      <c r="T155" s="465"/>
      <c r="U155" s="465"/>
      <c r="V155" s="465"/>
      <c r="W155" s="465"/>
      <c r="X155" s="465"/>
      <c r="Y155" s="465"/>
      <c r="Z155" s="465"/>
      <c r="AA155" s="465"/>
      <c r="AB155" s="465"/>
      <c r="AC155" s="465"/>
      <c r="AD155" s="465"/>
      <c r="AE155" s="465"/>
      <c r="AF155" s="465"/>
      <c r="AG155" s="465"/>
      <c r="AH155" s="465"/>
      <c r="AI155" s="465"/>
      <c r="AJ155" s="465"/>
      <c r="AK155" s="465"/>
      <c r="AL155" s="465"/>
      <c r="AM155" s="465"/>
      <c r="AN155" s="465"/>
      <c r="AO155" s="465"/>
      <c r="AP155" s="465"/>
      <c r="AQ155" s="465"/>
      <c r="AR155" s="465"/>
      <c r="AS155" s="465"/>
      <c r="AT155" s="465"/>
      <c r="AU155" s="465"/>
      <c r="AV155" s="465"/>
      <c r="AW155" s="465"/>
      <c r="AX155" s="465"/>
      <c r="AY155" s="465"/>
      <c r="AZ155" s="465"/>
      <c r="BA155" s="465"/>
      <c r="BB155" s="465"/>
      <c r="BC155" s="465"/>
      <c r="BD155" s="465"/>
      <c r="BE155" s="465"/>
      <c r="BF155" s="465"/>
      <c r="BG155" s="465"/>
      <c r="BH155" s="465"/>
      <c r="BI155" s="465"/>
      <c r="BJ155" s="465"/>
      <c r="BK155" s="465"/>
      <c r="BL155" s="465"/>
      <c r="BM155" s="465"/>
      <c r="BN155" s="465"/>
      <c r="BO155" s="465"/>
      <c r="BP155" s="465"/>
      <c r="BQ155" s="465"/>
      <c r="BR155" s="465"/>
      <c r="BS155" s="465"/>
      <c r="BT155" s="465"/>
      <c r="BU155" s="465"/>
      <c r="BV155" s="465"/>
      <c r="BW155" s="465"/>
      <c r="BX155" s="465"/>
      <c r="BY155" s="465"/>
      <c r="BZ155" s="465"/>
      <c r="CA155" s="465"/>
      <c r="CB155" s="465"/>
      <c r="CC155" s="465"/>
      <c r="CD155" s="465"/>
      <c r="CE155" s="465"/>
      <c r="CF155" s="465"/>
      <c r="CG155" s="465"/>
      <c r="CH155" s="465"/>
      <c r="CI155" s="465"/>
      <c r="CJ155" s="465"/>
      <c r="CK155" s="465"/>
      <c r="CL155" s="465"/>
      <c r="CM155" s="465"/>
      <c r="CN155" s="465"/>
      <c r="CO155" s="465"/>
      <c r="CP155" s="465"/>
      <c r="CQ155" s="465"/>
      <c r="CR155" s="465"/>
      <c r="CS155" s="465"/>
      <c r="CT155" s="465"/>
      <c r="CU155" s="465"/>
      <c r="CV155" s="465"/>
      <c r="CW155" s="465"/>
      <c r="CX155" s="465"/>
      <c r="CY155" s="465"/>
      <c r="CZ155" s="465"/>
      <c r="DA155" s="465"/>
      <c r="DB155" s="465"/>
      <c r="DC155" s="465"/>
      <c r="DD155" s="465"/>
      <c r="DE155" s="465"/>
      <c r="DF155" s="465"/>
      <c r="DG155" s="465"/>
      <c r="DH155" s="465"/>
      <c r="DI155" s="465"/>
      <c r="DJ155" s="465"/>
      <c r="DK155" s="465"/>
      <c r="DL155" s="465"/>
      <c r="DM155" s="465"/>
      <c r="DN155" s="465"/>
      <c r="DO155" s="465"/>
      <c r="DP155" s="465"/>
      <c r="DQ155" s="465"/>
      <c r="DR155" s="465"/>
      <c r="DS155" s="465"/>
      <c r="DT155" s="465"/>
      <c r="DU155" s="465"/>
      <c r="DV155" s="465"/>
      <c r="DW155" s="465"/>
      <c r="DX155" s="465"/>
      <c r="DY155" s="465"/>
      <c r="DZ155" s="465"/>
      <c r="EA155" s="465"/>
      <c r="EB155" s="465"/>
      <c r="EC155" s="465"/>
      <c r="ED155" s="465"/>
      <c r="EE155" s="465"/>
      <c r="EF155" s="465"/>
      <c r="EG155" s="465"/>
      <c r="EH155" s="465"/>
      <c r="EI155" s="465"/>
      <c r="EJ155" s="465"/>
      <c r="EK155" s="465"/>
      <c r="EL155" s="465"/>
      <c r="EM155" s="465"/>
      <c r="EN155" s="465"/>
      <c r="EO155" s="465"/>
      <c r="EP155" s="465"/>
      <c r="EQ155" s="465"/>
      <c r="ER155" s="465"/>
      <c r="ES155" s="465"/>
      <c r="ET155" s="465"/>
      <c r="EU155" s="465"/>
      <c r="EV155" s="465"/>
      <c r="EW155" s="465"/>
      <c r="EX155" s="465"/>
      <c r="EY155" s="465"/>
      <c r="EZ155" s="465"/>
      <c r="FA155" s="465"/>
      <c r="FB155" s="465"/>
      <c r="FC155" s="465"/>
      <c r="FD155" s="465"/>
      <c r="FE155" s="465"/>
      <c r="FF155" s="465"/>
      <c r="FG155" s="465"/>
      <c r="FH155" s="465"/>
      <c r="FI155" s="465"/>
      <c r="FJ155" s="465"/>
      <c r="FK155" s="465"/>
      <c r="FL155" s="465"/>
      <c r="FM155" s="465"/>
      <c r="FN155" s="465"/>
      <c r="FO155" s="465"/>
      <c r="FP155" s="465"/>
      <c r="FQ155" s="465"/>
      <c r="FR155" s="465"/>
      <c r="FS155" s="465"/>
      <c r="FT155" s="465"/>
      <c r="FU155" s="465"/>
      <c r="FV155" s="465"/>
      <c r="FW155" s="465"/>
      <c r="FX155" s="465"/>
      <c r="FY155" s="465"/>
      <c r="FZ155" s="465"/>
      <c r="GA155" s="465"/>
      <c r="GB155" s="465"/>
      <c r="GC155" s="465"/>
      <c r="GD155" s="465"/>
      <c r="GE155" s="465"/>
      <c r="GF155" s="465"/>
      <c r="GG155" s="465"/>
      <c r="GH155" s="465"/>
      <c r="GI155" s="465"/>
      <c r="GJ155" s="465"/>
      <c r="GK155" s="465"/>
      <c r="GL155" s="465"/>
      <c r="GM155" s="465"/>
      <c r="GN155" s="465"/>
      <c r="GO155" s="465"/>
      <c r="GP155" s="465"/>
      <c r="GQ155" s="465"/>
      <c r="GR155" s="465"/>
      <c r="GS155" s="465"/>
      <c r="GT155" s="465"/>
      <c r="GU155" s="465"/>
      <c r="GV155" s="465"/>
      <c r="GW155" s="465"/>
      <c r="GX155" s="465"/>
      <c r="GY155" s="465"/>
      <c r="GZ155" s="465"/>
      <c r="HA155" s="465"/>
      <c r="HB155" s="465"/>
      <c r="HC155" s="465"/>
      <c r="HD155" s="465"/>
      <c r="HE155" s="465"/>
      <c r="HF155" s="465"/>
      <c r="HG155" s="465"/>
      <c r="HH155" s="465"/>
      <c r="HI155" s="465"/>
      <c r="HJ155" s="465"/>
      <c r="HK155" s="465"/>
      <c r="HL155" s="465"/>
      <c r="HM155" s="465"/>
      <c r="HN155" s="465"/>
      <c r="HO155" s="465"/>
      <c r="HP155" s="465"/>
      <c r="HQ155" s="465"/>
      <c r="HR155" s="465"/>
      <c r="HS155" s="465"/>
      <c r="HT155" s="465"/>
      <c r="HU155" s="465"/>
      <c r="HV155" s="465"/>
      <c r="HW155" s="465"/>
      <c r="HX155" s="465"/>
      <c r="HY155" s="465"/>
      <c r="HZ155" s="465"/>
      <c r="IA155" s="465"/>
      <c r="IB155" s="465"/>
      <c r="IC155" s="465"/>
      <c r="ID155" s="465"/>
      <c r="IE155" s="465"/>
      <c r="IF155" s="465"/>
      <c r="IG155" s="465"/>
      <c r="IH155" s="465"/>
      <c r="II155" s="465"/>
      <c r="IJ155" s="465"/>
      <c r="IK155" s="465"/>
      <c r="IL155" s="465"/>
      <c r="IM155" s="465"/>
      <c r="IN155" s="465"/>
      <c r="IO155" s="465"/>
      <c r="IP155" s="465"/>
      <c r="IQ155" s="465"/>
    </row>
    <row r="156" spans="1:251" s="466" customFormat="1">
      <c r="A156" s="325" t="s">
        <v>987</v>
      </c>
      <c r="B156" s="194">
        <f>0.31*12*B144*1.5</f>
        <v>18056.600999999999</v>
      </c>
      <c r="C156" s="465"/>
      <c r="D156" s="465"/>
      <c r="E156" s="465"/>
      <c r="F156" s="465"/>
      <c r="G156" s="465"/>
      <c r="H156" s="465"/>
      <c r="I156" s="465"/>
      <c r="J156" s="465"/>
      <c r="K156" s="465"/>
      <c r="L156" s="465"/>
      <c r="M156" s="465"/>
      <c r="N156" s="465"/>
      <c r="O156" s="465"/>
      <c r="P156" s="465"/>
      <c r="Q156" s="465"/>
      <c r="R156" s="465"/>
      <c r="S156" s="465"/>
      <c r="T156" s="465"/>
      <c r="U156" s="465"/>
      <c r="V156" s="465"/>
      <c r="W156" s="465"/>
      <c r="X156" s="465"/>
      <c r="Y156" s="465"/>
      <c r="Z156" s="465"/>
      <c r="AA156" s="465"/>
      <c r="AB156" s="465"/>
      <c r="AC156" s="465"/>
      <c r="AD156" s="465"/>
      <c r="AE156" s="465"/>
      <c r="AF156" s="465"/>
      <c r="AG156" s="465"/>
      <c r="AH156" s="465"/>
      <c r="AI156" s="465"/>
      <c r="AJ156" s="465"/>
      <c r="AK156" s="465"/>
      <c r="AL156" s="465"/>
      <c r="AM156" s="465"/>
      <c r="AN156" s="465"/>
      <c r="AO156" s="465"/>
      <c r="AP156" s="465"/>
      <c r="AQ156" s="465"/>
      <c r="AR156" s="465"/>
      <c r="AS156" s="465"/>
      <c r="AT156" s="465"/>
      <c r="AU156" s="465"/>
      <c r="AV156" s="465"/>
      <c r="AW156" s="465"/>
      <c r="AX156" s="465"/>
      <c r="AY156" s="465"/>
      <c r="AZ156" s="465"/>
      <c r="BA156" s="465"/>
      <c r="BB156" s="465"/>
      <c r="BC156" s="465"/>
      <c r="BD156" s="465"/>
      <c r="BE156" s="465"/>
      <c r="BF156" s="465"/>
      <c r="BG156" s="465"/>
      <c r="BH156" s="465"/>
      <c r="BI156" s="465"/>
      <c r="BJ156" s="465"/>
      <c r="BK156" s="465"/>
      <c r="BL156" s="465"/>
      <c r="BM156" s="465"/>
      <c r="BN156" s="465"/>
      <c r="BO156" s="465"/>
      <c r="BP156" s="465"/>
      <c r="BQ156" s="465"/>
      <c r="BR156" s="465"/>
      <c r="BS156" s="465"/>
      <c r="BT156" s="465"/>
      <c r="BU156" s="465"/>
      <c r="BV156" s="465"/>
      <c r="BW156" s="465"/>
      <c r="BX156" s="465"/>
      <c r="BY156" s="465"/>
      <c r="BZ156" s="465"/>
      <c r="CA156" s="465"/>
      <c r="CB156" s="465"/>
      <c r="CC156" s="465"/>
      <c r="CD156" s="465"/>
      <c r="CE156" s="465"/>
      <c r="CF156" s="465"/>
      <c r="CG156" s="465"/>
      <c r="CH156" s="465"/>
      <c r="CI156" s="465"/>
      <c r="CJ156" s="465"/>
      <c r="CK156" s="465"/>
      <c r="CL156" s="465"/>
      <c r="CM156" s="465"/>
      <c r="CN156" s="465"/>
      <c r="CO156" s="465"/>
      <c r="CP156" s="465"/>
      <c r="CQ156" s="465"/>
      <c r="CR156" s="465"/>
      <c r="CS156" s="465"/>
      <c r="CT156" s="465"/>
      <c r="CU156" s="465"/>
      <c r="CV156" s="465"/>
      <c r="CW156" s="465"/>
      <c r="CX156" s="465"/>
      <c r="CY156" s="465"/>
      <c r="CZ156" s="465"/>
      <c r="DA156" s="465"/>
      <c r="DB156" s="465"/>
      <c r="DC156" s="465"/>
      <c r="DD156" s="465"/>
      <c r="DE156" s="465"/>
      <c r="DF156" s="465"/>
      <c r="DG156" s="465"/>
      <c r="DH156" s="465"/>
      <c r="DI156" s="465"/>
      <c r="DJ156" s="465"/>
      <c r="DK156" s="465"/>
      <c r="DL156" s="465"/>
      <c r="DM156" s="465"/>
      <c r="DN156" s="465"/>
      <c r="DO156" s="465"/>
      <c r="DP156" s="465"/>
      <c r="DQ156" s="465"/>
      <c r="DR156" s="465"/>
      <c r="DS156" s="465"/>
      <c r="DT156" s="465"/>
      <c r="DU156" s="465"/>
      <c r="DV156" s="465"/>
      <c r="DW156" s="465"/>
      <c r="DX156" s="465"/>
      <c r="DY156" s="465"/>
      <c r="DZ156" s="465"/>
      <c r="EA156" s="465"/>
      <c r="EB156" s="465"/>
      <c r="EC156" s="465"/>
      <c r="ED156" s="465"/>
      <c r="EE156" s="465"/>
      <c r="EF156" s="465"/>
      <c r="EG156" s="465"/>
      <c r="EH156" s="465"/>
      <c r="EI156" s="465"/>
      <c r="EJ156" s="465"/>
      <c r="EK156" s="465"/>
      <c r="EL156" s="465"/>
      <c r="EM156" s="465"/>
      <c r="EN156" s="465"/>
      <c r="EO156" s="465"/>
      <c r="EP156" s="465"/>
      <c r="EQ156" s="465"/>
      <c r="ER156" s="465"/>
      <c r="ES156" s="465"/>
      <c r="ET156" s="465"/>
      <c r="EU156" s="465"/>
      <c r="EV156" s="465"/>
      <c r="EW156" s="465"/>
      <c r="EX156" s="465"/>
      <c r="EY156" s="465"/>
      <c r="EZ156" s="465"/>
      <c r="FA156" s="465"/>
      <c r="FB156" s="465"/>
      <c r="FC156" s="465"/>
      <c r="FD156" s="465"/>
      <c r="FE156" s="465"/>
      <c r="FF156" s="465"/>
      <c r="FG156" s="465"/>
      <c r="FH156" s="465"/>
      <c r="FI156" s="465"/>
      <c r="FJ156" s="465"/>
      <c r="FK156" s="465"/>
      <c r="FL156" s="465"/>
      <c r="FM156" s="465"/>
      <c r="FN156" s="465"/>
      <c r="FO156" s="465"/>
      <c r="FP156" s="465"/>
      <c r="FQ156" s="465"/>
      <c r="FR156" s="465"/>
      <c r="FS156" s="465"/>
      <c r="FT156" s="465"/>
      <c r="FU156" s="465"/>
      <c r="FV156" s="465"/>
      <c r="FW156" s="465"/>
      <c r="FX156" s="465"/>
      <c r="FY156" s="465"/>
      <c r="FZ156" s="465"/>
      <c r="GA156" s="465"/>
      <c r="GB156" s="465"/>
      <c r="GC156" s="465"/>
      <c r="GD156" s="465"/>
      <c r="GE156" s="465"/>
      <c r="GF156" s="465"/>
      <c r="GG156" s="465"/>
      <c r="GH156" s="465"/>
      <c r="GI156" s="465"/>
      <c r="GJ156" s="465"/>
      <c r="GK156" s="465"/>
      <c r="GL156" s="465"/>
      <c r="GM156" s="465"/>
      <c r="GN156" s="465"/>
      <c r="GO156" s="465"/>
      <c r="GP156" s="465"/>
      <c r="GQ156" s="465"/>
      <c r="GR156" s="465"/>
      <c r="GS156" s="465"/>
      <c r="GT156" s="465"/>
      <c r="GU156" s="465"/>
      <c r="GV156" s="465"/>
      <c r="GW156" s="465"/>
      <c r="GX156" s="465"/>
      <c r="GY156" s="465"/>
      <c r="GZ156" s="465"/>
      <c r="HA156" s="465"/>
      <c r="HB156" s="465"/>
      <c r="HC156" s="465"/>
      <c r="HD156" s="465"/>
      <c r="HE156" s="465"/>
      <c r="HF156" s="465"/>
      <c r="HG156" s="465"/>
      <c r="HH156" s="465"/>
      <c r="HI156" s="465"/>
      <c r="HJ156" s="465"/>
      <c r="HK156" s="465"/>
      <c r="HL156" s="465"/>
      <c r="HM156" s="465"/>
      <c r="HN156" s="465"/>
      <c r="HO156" s="465"/>
      <c r="HP156" s="465"/>
      <c r="HQ156" s="465"/>
      <c r="HR156" s="465"/>
      <c r="HS156" s="465"/>
      <c r="HT156" s="465"/>
      <c r="HU156" s="465"/>
      <c r="HV156" s="465"/>
      <c r="HW156" s="465"/>
      <c r="HX156" s="465"/>
      <c r="HY156" s="465"/>
      <c r="HZ156" s="465"/>
      <c r="IA156" s="465"/>
      <c r="IB156" s="465"/>
      <c r="IC156" s="465"/>
      <c r="ID156" s="465"/>
      <c r="IE156" s="465"/>
      <c r="IF156" s="465"/>
      <c r="IG156" s="465"/>
      <c r="IH156" s="465"/>
      <c r="II156" s="465"/>
      <c r="IJ156" s="465"/>
      <c r="IK156" s="465"/>
      <c r="IL156" s="465"/>
      <c r="IM156" s="465"/>
      <c r="IN156" s="465"/>
      <c r="IO156" s="465"/>
      <c r="IP156" s="465"/>
      <c r="IQ156" s="465"/>
    </row>
    <row r="157" spans="1:251" s="466" customFormat="1">
      <c r="A157" s="325" t="s">
        <v>520</v>
      </c>
      <c r="B157" s="194">
        <f>0.89*12*B144*1.5</f>
        <v>51839.918999999994</v>
      </c>
      <c r="C157" s="465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65"/>
      <c r="P157" s="465"/>
      <c r="Q157" s="465"/>
      <c r="R157" s="465"/>
      <c r="S157" s="465"/>
      <c r="T157" s="465"/>
      <c r="U157" s="465"/>
      <c r="V157" s="465"/>
      <c r="W157" s="465"/>
      <c r="X157" s="465"/>
      <c r="Y157" s="465"/>
      <c r="Z157" s="465"/>
      <c r="AA157" s="465"/>
      <c r="AB157" s="465"/>
      <c r="AC157" s="465"/>
      <c r="AD157" s="465"/>
      <c r="AE157" s="465"/>
      <c r="AF157" s="465"/>
      <c r="AG157" s="465"/>
      <c r="AH157" s="465"/>
      <c r="AI157" s="465"/>
      <c r="AJ157" s="465"/>
      <c r="AK157" s="465"/>
      <c r="AL157" s="465"/>
      <c r="AM157" s="465"/>
      <c r="AN157" s="465"/>
      <c r="AO157" s="465"/>
      <c r="AP157" s="465"/>
      <c r="AQ157" s="465"/>
      <c r="AR157" s="465"/>
      <c r="AS157" s="465"/>
      <c r="AT157" s="465"/>
      <c r="AU157" s="465"/>
      <c r="AV157" s="465"/>
      <c r="AW157" s="465"/>
      <c r="AX157" s="465"/>
      <c r="AY157" s="465"/>
      <c r="AZ157" s="465"/>
      <c r="BA157" s="465"/>
      <c r="BB157" s="465"/>
      <c r="BC157" s="465"/>
      <c r="BD157" s="465"/>
      <c r="BE157" s="465"/>
      <c r="BF157" s="465"/>
      <c r="BG157" s="465"/>
      <c r="BH157" s="465"/>
      <c r="BI157" s="465"/>
      <c r="BJ157" s="465"/>
      <c r="BK157" s="465"/>
      <c r="BL157" s="465"/>
      <c r="BM157" s="465"/>
      <c r="BN157" s="465"/>
      <c r="BO157" s="465"/>
      <c r="BP157" s="465"/>
      <c r="BQ157" s="465"/>
      <c r="BR157" s="465"/>
      <c r="BS157" s="465"/>
      <c r="BT157" s="465"/>
      <c r="BU157" s="465"/>
      <c r="BV157" s="465"/>
      <c r="BW157" s="465"/>
      <c r="BX157" s="465"/>
      <c r="BY157" s="465"/>
      <c r="BZ157" s="465"/>
      <c r="CA157" s="465"/>
      <c r="CB157" s="465"/>
      <c r="CC157" s="465"/>
      <c r="CD157" s="465"/>
      <c r="CE157" s="465"/>
      <c r="CF157" s="465"/>
      <c r="CG157" s="465"/>
      <c r="CH157" s="465"/>
      <c r="CI157" s="465"/>
      <c r="CJ157" s="465"/>
      <c r="CK157" s="465"/>
      <c r="CL157" s="465"/>
      <c r="CM157" s="465"/>
      <c r="CN157" s="465"/>
      <c r="CO157" s="465"/>
      <c r="CP157" s="465"/>
      <c r="CQ157" s="465"/>
      <c r="CR157" s="465"/>
      <c r="CS157" s="465"/>
      <c r="CT157" s="465"/>
      <c r="CU157" s="465"/>
      <c r="CV157" s="465"/>
      <c r="CW157" s="465"/>
      <c r="CX157" s="465"/>
      <c r="CY157" s="465"/>
      <c r="CZ157" s="465"/>
      <c r="DA157" s="465"/>
      <c r="DB157" s="465"/>
      <c r="DC157" s="465"/>
      <c r="DD157" s="465"/>
      <c r="DE157" s="465"/>
      <c r="DF157" s="465"/>
      <c r="DG157" s="465"/>
      <c r="DH157" s="465"/>
      <c r="DI157" s="465"/>
      <c r="DJ157" s="465"/>
      <c r="DK157" s="465"/>
      <c r="DL157" s="465"/>
      <c r="DM157" s="465"/>
      <c r="DN157" s="465"/>
      <c r="DO157" s="465"/>
      <c r="DP157" s="465"/>
      <c r="DQ157" s="465"/>
      <c r="DR157" s="465"/>
      <c r="DS157" s="465"/>
      <c r="DT157" s="465"/>
      <c r="DU157" s="465"/>
      <c r="DV157" s="465"/>
      <c r="DW157" s="465"/>
      <c r="DX157" s="465"/>
      <c r="DY157" s="465"/>
      <c r="DZ157" s="465"/>
      <c r="EA157" s="465"/>
      <c r="EB157" s="465"/>
      <c r="EC157" s="465"/>
      <c r="ED157" s="465"/>
      <c r="EE157" s="465"/>
      <c r="EF157" s="465"/>
      <c r="EG157" s="465"/>
      <c r="EH157" s="465"/>
      <c r="EI157" s="465"/>
      <c r="EJ157" s="465"/>
      <c r="EK157" s="465"/>
      <c r="EL157" s="465"/>
      <c r="EM157" s="465"/>
      <c r="EN157" s="465"/>
      <c r="EO157" s="465"/>
      <c r="EP157" s="465"/>
      <c r="EQ157" s="465"/>
      <c r="ER157" s="465"/>
      <c r="ES157" s="465"/>
      <c r="ET157" s="465"/>
      <c r="EU157" s="465"/>
      <c r="EV157" s="465"/>
      <c r="EW157" s="465"/>
      <c r="EX157" s="465"/>
      <c r="EY157" s="465"/>
      <c r="EZ157" s="465"/>
      <c r="FA157" s="465"/>
      <c r="FB157" s="465"/>
      <c r="FC157" s="465"/>
      <c r="FD157" s="465"/>
      <c r="FE157" s="465"/>
      <c r="FF157" s="465"/>
      <c r="FG157" s="465"/>
      <c r="FH157" s="465"/>
      <c r="FI157" s="465"/>
      <c r="FJ157" s="465"/>
      <c r="FK157" s="465"/>
      <c r="FL157" s="465"/>
      <c r="FM157" s="465"/>
      <c r="FN157" s="465"/>
      <c r="FO157" s="465"/>
      <c r="FP157" s="465"/>
      <c r="FQ157" s="465"/>
      <c r="FR157" s="465"/>
      <c r="FS157" s="465"/>
      <c r="FT157" s="465"/>
      <c r="FU157" s="465"/>
      <c r="FV157" s="465"/>
      <c r="FW157" s="465"/>
      <c r="FX157" s="465"/>
      <c r="FY157" s="465"/>
      <c r="FZ157" s="465"/>
      <c r="GA157" s="465"/>
      <c r="GB157" s="465"/>
      <c r="GC157" s="465"/>
      <c r="GD157" s="465"/>
      <c r="GE157" s="465"/>
      <c r="GF157" s="465"/>
      <c r="GG157" s="465"/>
      <c r="GH157" s="465"/>
      <c r="GI157" s="465"/>
      <c r="GJ157" s="465"/>
      <c r="GK157" s="465"/>
      <c r="GL157" s="465"/>
      <c r="GM157" s="465"/>
      <c r="GN157" s="465"/>
      <c r="GO157" s="465"/>
      <c r="GP157" s="465"/>
      <c r="GQ157" s="465"/>
      <c r="GR157" s="465"/>
      <c r="GS157" s="465"/>
      <c r="GT157" s="465"/>
      <c r="GU157" s="465"/>
      <c r="GV157" s="465"/>
      <c r="GW157" s="465"/>
      <c r="GX157" s="465"/>
      <c r="GY157" s="465"/>
      <c r="GZ157" s="465"/>
      <c r="HA157" s="465"/>
      <c r="HB157" s="465"/>
      <c r="HC157" s="465"/>
      <c r="HD157" s="465"/>
      <c r="HE157" s="465"/>
      <c r="HF157" s="465"/>
      <c r="HG157" s="465"/>
      <c r="HH157" s="465"/>
      <c r="HI157" s="465"/>
      <c r="HJ157" s="465"/>
      <c r="HK157" s="465"/>
      <c r="HL157" s="465"/>
      <c r="HM157" s="465"/>
      <c r="HN157" s="465"/>
      <c r="HO157" s="465"/>
      <c r="HP157" s="465"/>
      <c r="HQ157" s="465"/>
      <c r="HR157" s="465"/>
      <c r="HS157" s="465"/>
      <c r="HT157" s="465"/>
      <c r="HU157" s="465"/>
      <c r="HV157" s="465"/>
      <c r="HW157" s="465"/>
      <c r="HX157" s="465"/>
      <c r="HY157" s="465"/>
      <c r="HZ157" s="465"/>
      <c r="IA157" s="465"/>
      <c r="IB157" s="465"/>
      <c r="IC157" s="465"/>
      <c r="ID157" s="465"/>
      <c r="IE157" s="465"/>
      <c r="IF157" s="465"/>
      <c r="IG157" s="465"/>
      <c r="IH157" s="465"/>
      <c r="II157" s="465"/>
      <c r="IJ157" s="465"/>
      <c r="IK157" s="465"/>
      <c r="IL157" s="465"/>
      <c r="IM157" s="465"/>
      <c r="IN157" s="465"/>
      <c r="IO157" s="465"/>
      <c r="IP157" s="465"/>
      <c r="IQ157" s="465"/>
    </row>
    <row r="158" spans="1:251">
      <c r="A158" s="325" t="s">
        <v>2027</v>
      </c>
      <c r="B158" s="194">
        <f>9915*1.5</f>
        <v>14872.5</v>
      </c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79"/>
      <c r="BN158" s="179"/>
      <c r="BO158" s="179"/>
      <c r="BP158" s="179"/>
      <c r="BQ158" s="179"/>
      <c r="BR158" s="179"/>
      <c r="BS158" s="179"/>
      <c r="BT158" s="179"/>
      <c r="BU158" s="179"/>
      <c r="BV158" s="179"/>
      <c r="BW158" s="179"/>
      <c r="BX158" s="179"/>
      <c r="BY158" s="179"/>
      <c r="BZ158" s="179"/>
      <c r="CA158" s="179"/>
      <c r="CB158" s="179"/>
      <c r="CC158" s="179"/>
      <c r="CD158" s="179"/>
      <c r="CE158" s="179"/>
      <c r="CF158" s="179"/>
      <c r="CG158" s="179"/>
      <c r="CH158" s="179"/>
      <c r="CI158" s="179"/>
      <c r="CJ158" s="179"/>
      <c r="CK158" s="179"/>
      <c r="CL158" s="179"/>
      <c r="CM158" s="179"/>
      <c r="CN158" s="179"/>
      <c r="CO158" s="179"/>
      <c r="CP158" s="179"/>
      <c r="CQ158" s="179"/>
      <c r="CR158" s="179"/>
      <c r="CS158" s="179"/>
      <c r="CT158" s="179"/>
      <c r="CU158" s="179"/>
      <c r="CV158" s="179"/>
      <c r="CW158" s="179"/>
      <c r="CX158" s="179"/>
      <c r="CY158" s="179"/>
      <c r="CZ158" s="179"/>
      <c r="DA158" s="179"/>
      <c r="DB158" s="179"/>
      <c r="DC158" s="179"/>
      <c r="DD158" s="179"/>
      <c r="DE158" s="179"/>
      <c r="DF158" s="179"/>
      <c r="DG158" s="179"/>
      <c r="DH158" s="179"/>
      <c r="DI158" s="179"/>
      <c r="DJ158" s="179"/>
      <c r="DK158" s="179"/>
      <c r="DL158" s="179"/>
      <c r="DM158" s="179"/>
      <c r="DN158" s="179"/>
      <c r="DO158" s="179"/>
      <c r="DP158" s="179"/>
      <c r="DQ158" s="179"/>
      <c r="DR158" s="179"/>
      <c r="DS158" s="179"/>
      <c r="DT158" s="179"/>
      <c r="DU158" s="179"/>
      <c r="DV158" s="179"/>
      <c r="DW158" s="179"/>
      <c r="DX158" s="179"/>
      <c r="DY158" s="179"/>
      <c r="DZ158" s="179"/>
      <c r="EA158" s="179"/>
      <c r="EB158" s="179"/>
      <c r="EC158" s="179"/>
      <c r="ED158" s="179"/>
      <c r="EE158" s="179"/>
      <c r="EF158" s="179"/>
      <c r="EG158" s="179"/>
      <c r="EH158" s="179"/>
      <c r="EI158" s="179"/>
      <c r="EJ158" s="179"/>
      <c r="EK158" s="179"/>
      <c r="EL158" s="179"/>
      <c r="EM158" s="179"/>
      <c r="EN158" s="179"/>
      <c r="EO158" s="179"/>
      <c r="EP158" s="179"/>
      <c r="EQ158" s="179"/>
      <c r="ER158" s="179"/>
      <c r="ES158" s="179"/>
      <c r="ET158" s="179"/>
      <c r="EU158" s="179"/>
      <c r="EV158" s="179"/>
      <c r="EW158" s="179"/>
      <c r="EX158" s="179"/>
      <c r="EY158" s="179"/>
      <c r="EZ158" s="179"/>
      <c r="FA158" s="179"/>
      <c r="FB158" s="179"/>
      <c r="FC158" s="179"/>
      <c r="FD158" s="179"/>
      <c r="FE158" s="179"/>
      <c r="FF158" s="179"/>
      <c r="FG158" s="179"/>
      <c r="FH158" s="179"/>
      <c r="FI158" s="179"/>
      <c r="FJ158" s="179"/>
      <c r="FK158" s="179"/>
      <c r="FL158" s="179"/>
      <c r="FM158" s="179"/>
      <c r="FN158" s="179"/>
      <c r="FO158" s="179"/>
      <c r="FP158" s="179"/>
      <c r="FQ158" s="179"/>
      <c r="FR158" s="179"/>
      <c r="FS158" s="179"/>
      <c r="FT158" s="179"/>
      <c r="FU158" s="179"/>
      <c r="FV158" s="179"/>
      <c r="FW158" s="179"/>
      <c r="FX158" s="179"/>
      <c r="FY158" s="179"/>
      <c r="FZ158" s="179"/>
      <c r="GA158" s="179"/>
      <c r="GB158" s="179"/>
      <c r="GC158" s="179"/>
      <c r="GD158" s="179"/>
      <c r="GE158" s="179"/>
      <c r="GF158" s="179"/>
      <c r="GG158" s="179"/>
      <c r="GH158" s="179"/>
      <c r="GI158" s="179"/>
      <c r="GJ158" s="179"/>
      <c r="GK158" s="179"/>
      <c r="GL158" s="179"/>
      <c r="GM158" s="179"/>
      <c r="GN158" s="179"/>
      <c r="GO158" s="179"/>
      <c r="GP158" s="179"/>
      <c r="GQ158" s="179"/>
      <c r="GR158" s="179"/>
      <c r="GS158" s="179"/>
      <c r="GT158" s="179"/>
      <c r="GU158" s="179"/>
      <c r="GV158" s="179"/>
      <c r="GW158" s="179"/>
      <c r="GX158" s="179"/>
      <c r="GY158" s="179"/>
      <c r="GZ158" s="179"/>
      <c r="HA158" s="179"/>
      <c r="HB158" s="179"/>
      <c r="HC158" s="179"/>
      <c r="HD158" s="179"/>
      <c r="HE158" s="179"/>
      <c r="HF158" s="179"/>
      <c r="HG158" s="179"/>
      <c r="HH158" s="179"/>
      <c r="HI158" s="179"/>
      <c r="HJ158" s="179"/>
      <c r="HK158" s="179"/>
      <c r="HL158" s="179"/>
      <c r="HM158" s="179"/>
      <c r="HN158" s="179"/>
      <c r="HO158" s="179"/>
      <c r="HP158" s="179"/>
      <c r="HQ158" s="179"/>
      <c r="HR158" s="179"/>
      <c r="HS158" s="179"/>
      <c r="HT158" s="179"/>
      <c r="HU158" s="179"/>
      <c r="HV158" s="179"/>
      <c r="HW158" s="179"/>
      <c r="HX158" s="179"/>
      <c r="HY158" s="179"/>
      <c r="HZ158" s="179"/>
      <c r="IA158" s="179"/>
      <c r="IB158" s="179"/>
      <c r="IC158" s="179"/>
      <c r="ID158" s="179"/>
      <c r="IE158" s="179"/>
      <c r="IF158" s="179"/>
      <c r="IG158" s="179"/>
      <c r="IH158" s="179"/>
      <c r="II158" s="179"/>
      <c r="IJ158" s="179"/>
      <c r="IK158" s="179"/>
      <c r="IL158" s="179"/>
      <c r="IM158" s="179"/>
      <c r="IN158" s="179"/>
      <c r="IO158" s="179"/>
      <c r="IP158" s="179"/>
      <c r="IQ158" s="179"/>
    </row>
    <row r="159" spans="1:251">
      <c r="A159" s="325" t="s">
        <v>1653</v>
      </c>
      <c r="B159" s="194">
        <f>1800*2.5*1.302*1.13*1.5</f>
        <v>9931.0049999999992</v>
      </c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79"/>
      <c r="BQ159" s="179"/>
      <c r="BR159" s="179"/>
      <c r="BS159" s="179"/>
      <c r="BT159" s="179"/>
      <c r="BU159" s="179"/>
      <c r="BV159" s="179"/>
      <c r="BW159" s="179"/>
      <c r="BX159" s="179"/>
      <c r="BY159" s="179"/>
      <c r="BZ159" s="179"/>
      <c r="CA159" s="179"/>
      <c r="CB159" s="179"/>
      <c r="CC159" s="179"/>
      <c r="CD159" s="179"/>
      <c r="CE159" s="179"/>
      <c r="CF159" s="179"/>
      <c r="CG159" s="179"/>
      <c r="CH159" s="179"/>
      <c r="CI159" s="179"/>
      <c r="CJ159" s="179"/>
      <c r="CK159" s="179"/>
      <c r="CL159" s="179"/>
      <c r="CM159" s="179"/>
      <c r="CN159" s="179"/>
      <c r="CO159" s="179"/>
      <c r="CP159" s="179"/>
      <c r="CQ159" s="179"/>
      <c r="CR159" s="179"/>
      <c r="CS159" s="179"/>
      <c r="CT159" s="179"/>
      <c r="CU159" s="179"/>
      <c r="CV159" s="179"/>
      <c r="CW159" s="179"/>
      <c r="CX159" s="179"/>
      <c r="CY159" s="179"/>
      <c r="CZ159" s="179"/>
      <c r="DA159" s="179"/>
      <c r="DB159" s="179"/>
      <c r="DC159" s="179"/>
      <c r="DD159" s="179"/>
      <c r="DE159" s="179"/>
      <c r="DF159" s="179"/>
      <c r="DG159" s="179"/>
      <c r="DH159" s="179"/>
      <c r="DI159" s="179"/>
      <c r="DJ159" s="179"/>
      <c r="DK159" s="179"/>
      <c r="DL159" s="179"/>
      <c r="DM159" s="179"/>
      <c r="DN159" s="179"/>
      <c r="DO159" s="179"/>
      <c r="DP159" s="179"/>
      <c r="DQ159" s="179"/>
      <c r="DR159" s="179"/>
      <c r="DS159" s="179"/>
      <c r="DT159" s="179"/>
      <c r="DU159" s="179"/>
      <c r="DV159" s="179"/>
      <c r="DW159" s="179"/>
      <c r="DX159" s="179"/>
      <c r="DY159" s="179"/>
      <c r="DZ159" s="179"/>
      <c r="EA159" s="179"/>
      <c r="EB159" s="179"/>
      <c r="EC159" s="179"/>
      <c r="ED159" s="179"/>
      <c r="EE159" s="179"/>
      <c r="EF159" s="179"/>
      <c r="EG159" s="179"/>
      <c r="EH159" s="179"/>
      <c r="EI159" s="179"/>
      <c r="EJ159" s="179"/>
      <c r="EK159" s="179"/>
      <c r="EL159" s="179"/>
      <c r="EM159" s="179"/>
      <c r="EN159" s="179"/>
      <c r="EO159" s="179"/>
      <c r="EP159" s="179"/>
      <c r="EQ159" s="179"/>
      <c r="ER159" s="179"/>
      <c r="ES159" s="179"/>
      <c r="ET159" s="179"/>
      <c r="EU159" s="179"/>
      <c r="EV159" s="179"/>
      <c r="EW159" s="179"/>
      <c r="EX159" s="179"/>
      <c r="EY159" s="179"/>
      <c r="EZ159" s="179"/>
      <c r="FA159" s="179"/>
      <c r="FB159" s="179"/>
      <c r="FC159" s="179"/>
      <c r="FD159" s="179"/>
      <c r="FE159" s="179"/>
      <c r="FF159" s="179"/>
      <c r="FG159" s="179"/>
      <c r="FH159" s="179"/>
      <c r="FI159" s="179"/>
      <c r="FJ159" s="179"/>
      <c r="FK159" s="179"/>
      <c r="FL159" s="179"/>
      <c r="FM159" s="179"/>
      <c r="FN159" s="179"/>
      <c r="FO159" s="179"/>
      <c r="FP159" s="179"/>
      <c r="FQ159" s="179"/>
      <c r="FR159" s="179"/>
      <c r="FS159" s="179"/>
      <c r="FT159" s="179"/>
      <c r="FU159" s="179"/>
      <c r="FV159" s="179"/>
      <c r="FW159" s="179"/>
      <c r="FX159" s="179"/>
      <c r="FY159" s="179"/>
      <c r="FZ159" s="179"/>
      <c r="GA159" s="179"/>
      <c r="GB159" s="179"/>
      <c r="GC159" s="179"/>
      <c r="GD159" s="179"/>
      <c r="GE159" s="179"/>
      <c r="GF159" s="179"/>
      <c r="GG159" s="179"/>
      <c r="GH159" s="179"/>
      <c r="GI159" s="179"/>
      <c r="GJ159" s="179"/>
      <c r="GK159" s="179"/>
      <c r="GL159" s="179"/>
      <c r="GM159" s="179"/>
      <c r="GN159" s="179"/>
      <c r="GO159" s="179"/>
      <c r="GP159" s="179"/>
      <c r="GQ159" s="179"/>
      <c r="GR159" s="179"/>
      <c r="GS159" s="179"/>
      <c r="GT159" s="179"/>
      <c r="GU159" s="179"/>
      <c r="GV159" s="179"/>
      <c r="GW159" s="179"/>
      <c r="GX159" s="179"/>
      <c r="GY159" s="179"/>
      <c r="GZ159" s="179"/>
      <c r="HA159" s="179"/>
      <c r="HB159" s="179"/>
      <c r="HC159" s="179"/>
      <c r="HD159" s="179"/>
      <c r="HE159" s="179"/>
      <c r="HF159" s="179"/>
      <c r="HG159" s="179"/>
      <c r="HH159" s="179"/>
      <c r="HI159" s="179"/>
      <c r="HJ159" s="179"/>
      <c r="HK159" s="179"/>
      <c r="HL159" s="179"/>
      <c r="HM159" s="179"/>
      <c r="HN159" s="179"/>
      <c r="HO159" s="179"/>
      <c r="HP159" s="179"/>
      <c r="HQ159" s="179"/>
      <c r="HR159" s="179"/>
      <c r="HS159" s="179"/>
      <c r="HT159" s="179"/>
      <c r="HU159" s="179"/>
      <c r="HV159" s="179"/>
      <c r="HW159" s="179"/>
      <c r="HX159" s="179"/>
      <c r="HY159" s="179"/>
      <c r="HZ159" s="179"/>
      <c r="IA159" s="179"/>
      <c r="IB159" s="179"/>
      <c r="IC159" s="179"/>
      <c r="ID159" s="179"/>
      <c r="IE159" s="179"/>
      <c r="IF159" s="179"/>
      <c r="IG159" s="179"/>
      <c r="IH159" s="179"/>
      <c r="II159" s="179"/>
      <c r="IJ159" s="179"/>
      <c r="IK159" s="179"/>
      <c r="IL159" s="179"/>
      <c r="IM159" s="179"/>
      <c r="IN159" s="179"/>
      <c r="IO159" s="179"/>
      <c r="IP159" s="179"/>
      <c r="IQ159" s="179"/>
    </row>
    <row r="160" spans="1:251" s="466" customFormat="1">
      <c r="A160" s="325" t="s">
        <v>601</v>
      </c>
      <c r="B160" s="194">
        <f>0.9*9100*13*1.302*1.5</f>
        <v>207935.91</v>
      </c>
      <c r="C160" s="465"/>
      <c r="D160" s="465"/>
      <c r="E160" s="465"/>
      <c r="F160" s="465"/>
      <c r="G160" s="465"/>
      <c r="H160" s="465"/>
      <c r="I160" s="465"/>
      <c r="J160" s="465"/>
      <c r="K160" s="465"/>
      <c r="L160" s="465"/>
      <c r="M160" s="465"/>
      <c r="N160" s="465"/>
      <c r="O160" s="465"/>
      <c r="P160" s="465"/>
      <c r="Q160" s="465"/>
      <c r="R160" s="465"/>
      <c r="S160" s="465"/>
      <c r="T160" s="465"/>
      <c r="U160" s="465"/>
      <c r="V160" s="465"/>
      <c r="W160" s="465"/>
      <c r="X160" s="465"/>
      <c r="Y160" s="465"/>
      <c r="Z160" s="465"/>
      <c r="AA160" s="465"/>
      <c r="AB160" s="465"/>
      <c r="AC160" s="465"/>
      <c r="AD160" s="465"/>
      <c r="AE160" s="465"/>
      <c r="AF160" s="465"/>
      <c r="AG160" s="465"/>
      <c r="AH160" s="465"/>
      <c r="AI160" s="465"/>
      <c r="AJ160" s="465"/>
      <c r="AK160" s="465"/>
      <c r="AL160" s="465"/>
      <c r="AM160" s="465"/>
      <c r="AN160" s="465"/>
      <c r="AO160" s="465"/>
      <c r="AP160" s="465"/>
      <c r="AQ160" s="465"/>
      <c r="AR160" s="465"/>
      <c r="AS160" s="465"/>
      <c r="AT160" s="465"/>
      <c r="AU160" s="465"/>
      <c r="AV160" s="465"/>
      <c r="AW160" s="465"/>
      <c r="AX160" s="465"/>
      <c r="AY160" s="465"/>
      <c r="AZ160" s="465"/>
      <c r="BA160" s="465"/>
      <c r="BB160" s="465"/>
      <c r="BC160" s="465"/>
      <c r="BD160" s="465"/>
      <c r="BE160" s="465"/>
      <c r="BF160" s="465"/>
      <c r="BG160" s="465"/>
      <c r="BH160" s="465"/>
      <c r="BI160" s="465"/>
      <c r="BJ160" s="465"/>
      <c r="BK160" s="465"/>
      <c r="BL160" s="465"/>
      <c r="BM160" s="465"/>
      <c r="BN160" s="465"/>
      <c r="BO160" s="465"/>
      <c r="BP160" s="465"/>
      <c r="BQ160" s="465"/>
      <c r="BR160" s="465"/>
      <c r="BS160" s="465"/>
      <c r="BT160" s="465"/>
      <c r="BU160" s="465"/>
      <c r="BV160" s="465"/>
      <c r="BW160" s="465"/>
      <c r="BX160" s="465"/>
      <c r="BY160" s="465"/>
      <c r="BZ160" s="465"/>
      <c r="CA160" s="465"/>
      <c r="CB160" s="465"/>
      <c r="CC160" s="465"/>
      <c r="CD160" s="465"/>
      <c r="CE160" s="465"/>
      <c r="CF160" s="465"/>
      <c r="CG160" s="465"/>
      <c r="CH160" s="465"/>
      <c r="CI160" s="465"/>
      <c r="CJ160" s="465"/>
      <c r="CK160" s="465"/>
      <c r="CL160" s="465"/>
      <c r="CM160" s="465"/>
      <c r="CN160" s="465"/>
      <c r="CO160" s="465"/>
      <c r="CP160" s="465"/>
      <c r="CQ160" s="465"/>
      <c r="CR160" s="465"/>
      <c r="CS160" s="465"/>
      <c r="CT160" s="465"/>
      <c r="CU160" s="465"/>
      <c r="CV160" s="465"/>
      <c r="CW160" s="465"/>
      <c r="CX160" s="465"/>
      <c r="CY160" s="465"/>
      <c r="CZ160" s="465"/>
      <c r="DA160" s="465"/>
      <c r="DB160" s="465"/>
      <c r="DC160" s="465"/>
      <c r="DD160" s="465"/>
      <c r="DE160" s="465"/>
      <c r="DF160" s="465"/>
      <c r="DG160" s="465"/>
      <c r="DH160" s="465"/>
      <c r="DI160" s="465"/>
      <c r="DJ160" s="465"/>
      <c r="DK160" s="465"/>
      <c r="DL160" s="465"/>
      <c r="DM160" s="465"/>
      <c r="DN160" s="465"/>
      <c r="DO160" s="465"/>
      <c r="DP160" s="465"/>
      <c r="DQ160" s="465"/>
      <c r="DR160" s="465"/>
      <c r="DS160" s="465"/>
      <c r="DT160" s="465"/>
      <c r="DU160" s="465"/>
      <c r="DV160" s="465"/>
      <c r="DW160" s="465"/>
      <c r="DX160" s="465"/>
      <c r="DY160" s="465"/>
      <c r="DZ160" s="465"/>
      <c r="EA160" s="465"/>
      <c r="EB160" s="465"/>
      <c r="EC160" s="465"/>
      <c r="ED160" s="465"/>
      <c r="EE160" s="465"/>
      <c r="EF160" s="465"/>
      <c r="EG160" s="465"/>
      <c r="EH160" s="465"/>
      <c r="EI160" s="465"/>
      <c r="EJ160" s="465"/>
      <c r="EK160" s="465"/>
      <c r="EL160" s="465"/>
      <c r="EM160" s="465"/>
      <c r="EN160" s="465"/>
      <c r="EO160" s="465"/>
      <c r="EP160" s="465"/>
      <c r="EQ160" s="465"/>
      <c r="ER160" s="465"/>
      <c r="ES160" s="465"/>
      <c r="ET160" s="465"/>
      <c r="EU160" s="465"/>
      <c r="EV160" s="465"/>
      <c r="EW160" s="465"/>
      <c r="EX160" s="465"/>
      <c r="EY160" s="465"/>
      <c r="EZ160" s="465"/>
      <c r="FA160" s="465"/>
      <c r="FB160" s="465"/>
      <c r="FC160" s="465"/>
      <c r="FD160" s="465"/>
      <c r="FE160" s="465"/>
      <c r="FF160" s="465"/>
      <c r="FG160" s="465"/>
      <c r="FH160" s="465"/>
      <c r="FI160" s="465"/>
      <c r="FJ160" s="465"/>
      <c r="FK160" s="465"/>
      <c r="FL160" s="465"/>
      <c r="FM160" s="465"/>
      <c r="FN160" s="465"/>
      <c r="FO160" s="465"/>
      <c r="FP160" s="465"/>
      <c r="FQ160" s="465"/>
      <c r="FR160" s="465"/>
      <c r="FS160" s="465"/>
      <c r="FT160" s="465"/>
      <c r="FU160" s="465"/>
      <c r="FV160" s="465"/>
      <c r="FW160" s="465"/>
      <c r="FX160" s="465"/>
      <c r="FY160" s="465"/>
      <c r="FZ160" s="465"/>
      <c r="GA160" s="465"/>
      <c r="GB160" s="465"/>
      <c r="GC160" s="465"/>
      <c r="GD160" s="465"/>
      <c r="GE160" s="465"/>
      <c r="GF160" s="465"/>
      <c r="GG160" s="465"/>
      <c r="GH160" s="465"/>
      <c r="GI160" s="465"/>
      <c r="GJ160" s="465"/>
      <c r="GK160" s="465"/>
      <c r="GL160" s="465"/>
      <c r="GM160" s="465"/>
      <c r="GN160" s="465"/>
      <c r="GO160" s="465"/>
      <c r="GP160" s="465"/>
      <c r="GQ160" s="465"/>
      <c r="GR160" s="465"/>
      <c r="GS160" s="465"/>
      <c r="GT160" s="465"/>
      <c r="GU160" s="465"/>
      <c r="GV160" s="465"/>
      <c r="GW160" s="465"/>
      <c r="GX160" s="465"/>
      <c r="GY160" s="465"/>
      <c r="GZ160" s="465"/>
      <c r="HA160" s="465"/>
      <c r="HB160" s="465"/>
      <c r="HC160" s="465"/>
      <c r="HD160" s="465"/>
      <c r="HE160" s="465"/>
      <c r="HF160" s="465"/>
      <c r="HG160" s="465"/>
      <c r="HH160" s="465"/>
      <c r="HI160" s="465"/>
      <c r="HJ160" s="465"/>
      <c r="HK160" s="465"/>
      <c r="HL160" s="465"/>
      <c r="HM160" s="465"/>
      <c r="HN160" s="465"/>
      <c r="HO160" s="465"/>
      <c r="HP160" s="465"/>
      <c r="HQ160" s="465"/>
      <c r="HR160" s="465"/>
      <c r="HS160" s="465"/>
      <c r="HT160" s="465"/>
      <c r="HU160" s="465"/>
      <c r="HV160" s="465"/>
      <c r="HW160" s="465"/>
      <c r="HX160" s="465"/>
      <c r="HY160" s="465"/>
      <c r="HZ160" s="465"/>
      <c r="IA160" s="465"/>
      <c r="IB160" s="465"/>
      <c r="IC160" s="465"/>
      <c r="ID160" s="465"/>
      <c r="IE160" s="465"/>
      <c r="IF160" s="465"/>
      <c r="IG160" s="465"/>
      <c r="IH160" s="465"/>
      <c r="II160" s="465"/>
      <c r="IJ160" s="465"/>
      <c r="IK160" s="465"/>
      <c r="IL160" s="465"/>
      <c r="IM160" s="465"/>
      <c r="IN160" s="465"/>
      <c r="IO160" s="465"/>
      <c r="IP160" s="465"/>
      <c r="IQ160" s="465"/>
    </row>
    <row r="161" spans="1:251">
      <c r="A161" s="325" t="s">
        <v>602</v>
      </c>
      <c r="B161" s="194">
        <f>B141</f>
        <v>270</v>
      </c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179"/>
      <c r="BN161" s="179"/>
      <c r="BO161" s="179"/>
      <c r="BP161" s="179"/>
      <c r="BQ161" s="179"/>
      <c r="BR161" s="179"/>
      <c r="BS161" s="179"/>
      <c r="BT161" s="179"/>
      <c r="BU161" s="179"/>
      <c r="BV161" s="179"/>
      <c r="BW161" s="179"/>
      <c r="BX161" s="179"/>
      <c r="BY161" s="179"/>
      <c r="BZ161" s="179"/>
      <c r="CA161" s="179"/>
      <c r="CB161" s="179"/>
      <c r="CC161" s="179"/>
      <c r="CD161" s="179"/>
      <c r="CE161" s="179"/>
      <c r="CF161" s="179"/>
      <c r="CG161" s="179"/>
      <c r="CH161" s="179"/>
      <c r="CI161" s="179"/>
      <c r="CJ161" s="179"/>
      <c r="CK161" s="179"/>
      <c r="CL161" s="179"/>
      <c r="CM161" s="179"/>
      <c r="CN161" s="179"/>
      <c r="CO161" s="179"/>
      <c r="CP161" s="179"/>
      <c r="CQ161" s="179"/>
      <c r="CR161" s="179"/>
      <c r="CS161" s="179"/>
      <c r="CT161" s="179"/>
      <c r="CU161" s="179"/>
      <c r="CV161" s="179"/>
      <c r="CW161" s="179"/>
      <c r="CX161" s="179"/>
      <c r="CY161" s="179"/>
      <c r="CZ161" s="179"/>
      <c r="DA161" s="179"/>
      <c r="DB161" s="179"/>
      <c r="DC161" s="179"/>
      <c r="DD161" s="179"/>
      <c r="DE161" s="179"/>
      <c r="DF161" s="179"/>
      <c r="DG161" s="179"/>
      <c r="DH161" s="179"/>
      <c r="DI161" s="179"/>
      <c r="DJ161" s="179"/>
      <c r="DK161" s="179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  <c r="DY161" s="179"/>
      <c r="DZ161" s="179"/>
      <c r="EA161" s="179"/>
      <c r="EB161" s="179"/>
      <c r="EC161" s="179"/>
      <c r="ED161" s="179"/>
      <c r="EE161" s="179"/>
      <c r="EF161" s="179"/>
      <c r="EG161" s="179"/>
      <c r="EH161" s="179"/>
      <c r="EI161" s="179"/>
      <c r="EJ161" s="179"/>
      <c r="EK161" s="179"/>
      <c r="EL161" s="179"/>
      <c r="EM161" s="179"/>
      <c r="EN161" s="179"/>
      <c r="EO161" s="179"/>
      <c r="EP161" s="179"/>
      <c r="EQ161" s="179"/>
      <c r="ER161" s="179"/>
      <c r="ES161" s="179"/>
      <c r="ET161" s="179"/>
      <c r="EU161" s="179"/>
      <c r="EV161" s="179"/>
      <c r="EW161" s="179"/>
      <c r="EX161" s="179"/>
      <c r="EY161" s="179"/>
      <c r="EZ161" s="179"/>
      <c r="FA161" s="179"/>
      <c r="FB161" s="179"/>
      <c r="FC161" s="179"/>
      <c r="FD161" s="179"/>
      <c r="FE161" s="179"/>
      <c r="FF161" s="179"/>
      <c r="FG161" s="179"/>
      <c r="FH161" s="179"/>
      <c r="FI161" s="179"/>
      <c r="FJ161" s="179"/>
      <c r="FK161" s="179"/>
      <c r="FL161" s="179"/>
      <c r="FM161" s="179"/>
      <c r="FN161" s="179"/>
      <c r="FO161" s="179"/>
      <c r="FP161" s="179"/>
      <c r="FQ161" s="179"/>
      <c r="FR161" s="179"/>
      <c r="FS161" s="179"/>
      <c r="FT161" s="179"/>
      <c r="FU161" s="179"/>
      <c r="FV161" s="179"/>
      <c r="FW161" s="179"/>
      <c r="FX161" s="179"/>
      <c r="FY161" s="179"/>
      <c r="FZ161" s="179"/>
      <c r="GA161" s="179"/>
      <c r="GB161" s="179"/>
      <c r="GC161" s="179"/>
      <c r="GD161" s="179"/>
      <c r="GE161" s="179"/>
      <c r="GF161" s="179"/>
      <c r="GG161" s="179"/>
      <c r="GH161" s="179"/>
      <c r="GI161" s="179"/>
      <c r="GJ161" s="179"/>
      <c r="GK161" s="179"/>
      <c r="GL161" s="179"/>
      <c r="GM161" s="179"/>
      <c r="GN161" s="179"/>
      <c r="GO161" s="179"/>
      <c r="GP161" s="179"/>
      <c r="GQ161" s="179"/>
      <c r="GR161" s="179"/>
      <c r="GS161" s="179"/>
      <c r="GT161" s="179"/>
      <c r="GU161" s="179"/>
      <c r="GV161" s="179"/>
      <c r="GW161" s="179"/>
      <c r="GX161" s="179"/>
      <c r="GY161" s="179"/>
      <c r="GZ161" s="179"/>
      <c r="HA161" s="179"/>
      <c r="HB161" s="179"/>
      <c r="HC161" s="179"/>
      <c r="HD161" s="179"/>
      <c r="HE161" s="179"/>
      <c r="HF161" s="179"/>
      <c r="HG161" s="179"/>
      <c r="HH161" s="179"/>
      <c r="HI161" s="179"/>
      <c r="HJ161" s="179"/>
      <c r="HK161" s="179"/>
      <c r="HL161" s="179"/>
      <c r="HM161" s="179"/>
      <c r="HN161" s="179"/>
      <c r="HO161" s="179"/>
      <c r="HP161" s="179"/>
      <c r="HQ161" s="179"/>
      <c r="HR161" s="179"/>
      <c r="HS161" s="179"/>
      <c r="HT161" s="179"/>
      <c r="HU161" s="179"/>
      <c r="HV161" s="179"/>
      <c r="HW161" s="179"/>
      <c r="HX161" s="179"/>
      <c r="HY161" s="179"/>
      <c r="HZ161" s="179"/>
      <c r="IA161" s="179"/>
      <c r="IB161" s="179"/>
      <c r="IC161" s="179"/>
      <c r="ID161" s="179"/>
      <c r="IE161" s="179"/>
      <c r="IF161" s="179"/>
      <c r="IG161" s="179"/>
      <c r="IH161" s="179"/>
      <c r="II161" s="179"/>
      <c r="IJ161" s="179"/>
      <c r="IK161" s="179"/>
      <c r="IL161" s="179"/>
      <c r="IM161" s="179"/>
      <c r="IN161" s="179"/>
      <c r="IO161" s="179"/>
      <c r="IP161" s="179"/>
      <c r="IQ161" s="179"/>
    </row>
    <row r="162" spans="1:251">
      <c r="A162" s="325" t="s">
        <v>603</v>
      </c>
      <c r="B162" s="194">
        <f>B161*130*1.302*1.5</f>
        <v>68550.3</v>
      </c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79"/>
      <c r="BF162" s="179"/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79"/>
      <c r="CI162" s="179"/>
      <c r="CJ162" s="179"/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79"/>
      <c r="DG162" s="179"/>
      <c r="DH162" s="179"/>
      <c r="DI162" s="179"/>
      <c r="DJ162" s="179"/>
      <c r="DK162" s="179"/>
      <c r="DL162" s="179"/>
      <c r="DM162" s="179"/>
      <c r="DN162" s="179"/>
      <c r="DO162" s="179"/>
      <c r="DP162" s="179"/>
      <c r="DQ162" s="179"/>
      <c r="DR162" s="179"/>
      <c r="DS162" s="179"/>
      <c r="DT162" s="179"/>
      <c r="DU162" s="179"/>
      <c r="DV162" s="179"/>
      <c r="DW162" s="179"/>
      <c r="DX162" s="179"/>
      <c r="DY162" s="179"/>
      <c r="DZ162" s="179"/>
      <c r="EA162" s="179"/>
      <c r="EB162" s="179"/>
      <c r="EC162" s="179"/>
      <c r="ED162" s="179"/>
      <c r="EE162" s="179"/>
      <c r="EF162" s="179"/>
      <c r="EG162" s="179"/>
      <c r="EH162" s="179"/>
      <c r="EI162" s="179"/>
      <c r="EJ162" s="179"/>
      <c r="EK162" s="179"/>
      <c r="EL162" s="179"/>
      <c r="EM162" s="179"/>
      <c r="EN162" s="179"/>
      <c r="EO162" s="179"/>
      <c r="EP162" s="179"/>
      <c r="EQ162" s="179"/>
      <c r="ER162" s="179"/>
      <c r="ES162" s="179"/>
      <c r="ET162" s="179"/>
      <c r="EU162" s="179"/>
      <c r="EV162" s="179"/>
      <c r="EW162" s="179"/>
      <c r="EX162" s="179"/>
      <c r="EY162" s="179"/>
      <c r="EZ162" s="179"/>
      <c r="FA162" s="179"/>
      <c r="FB162" s="179"/>
      <c r="FC162" s="179"/>
      <c r="FD162" s="179"/>
      <c r="FE162" s="179"/>
      <c r="FF162" s="179"/>
      <c r="FG162" s="179"/>
      <c r="FH162" s="179"/>
      <c r="FI162" s="179"/>
      <c r="FJ162" s="179"/>
      <c r="FK162" s="179"/>
      <c r="FL162" s="179"/>
      <c r="FM162" s="179"/>
      <c r="FN162" s="179"/>
      <c r="FO162" s="179"/>
      <c r="FP162" s="179"/>
      <c r="FQ162" s="179"/>
      <c r="FR162" s="179"/>
      <c r="FS162" s="179"/>
      <c r="FT162" s="179"/>
      <c r="FU162" s="179"/>
      <c r="FV162" s="179"/>
      <c r="FW162" s="179"/>
      <c r="FX162" s="179"/>
      <c r="FY162" s="179"/>
      <c r="FZ162" s="179"/>
      <c r="GA162" s="179"/>
      <c r="GB162" s="179"/>
      <c r="GC162" s="179"/>
      <c r="GD162" s="179"/>
      <c r="GE162" s="179"/>
      <c r="GF162" s="179"/>
      <c r="GG162" s="179"/>
      <c r="GH162" s="179"/>
      <c r="GI162" s="179"/>
      <c r="GJ162" s="179"/>
      <c r="GK162" s="179"/>
      <c r="GL162" s="179"/>
      <c r="GM162" s="179"/>
      <c r="GN162" s="179"/>
      <c r="GO162" s="179"/>
      <c r="GP162" s="179"/>
      <c r="GQ162" s="179"/>
      <c r="GR162" s="179"/>
      <c r="GS162" s="179"/>
      <c r="GT162" s="179"/>
      <c r="GU162" s="179"/>
      <c r="GV162" s="179"/>
      <c r="GW162" s="179"/>
      <c r="GX162" s="179"/>
      <c r="GY162" s="179"/>
      <c r="GZ162" s="179"/>
      <c r="HA162" s="179"/>
      <c r="HB162" s="179"/>
      <c r="HC162" s="179"/>
      <c r="HD162" s="179"/>
      <c r="HE162" s="179"/>
      <c r="HF162" s="179"/>
      <c r="HG162" s="179"/>
      <c r="HH162" s="179"/>
      <c r="HI162" s="179"/>
      <c r="HJ162" s="179"/>
      <c r="HK162" s="179"/>
      <c r="HL162" s="179"/>
      <c r="HM162" s="179"/>
      <c r="HN162" s="179"/>
      <c r="HO162" s="179"/>
      <c r="HP162" s="179"/>
      <c r="HQ162" s="179"/>
      <c r="HR162" s="179"/>
      <c r="HS162" s="179"/>
      <c r="HT162" s="179"/>
      <c r="HU162" s="179"/>
      <c r="HV162" s="179"/>
      <c r="HW162" s="179"/>
      <c r="HX162" s="179"/>
      <c r="HY162" s="179"/>
      <c r="HZ162" s="179"/>
      <c r="IA162" s="179"/>
      <c r="IB162" s="179"/>
      <c r="IC162" s="179"/>
      <c r="ID162" s="179"/>
      <c r="IE162" s="179"/>
      <c r="IF162" s="179"/>
      <c r="IG162" s="179"/>
      <c r="IH162" s="179"/>
      <c r="II162" s="179"/>
      <c r="IJ162" s="179"/>
      <c r="IK162" s="179"/>
      <c r="IL162" s="179"/>
      <c r="IM162" s="179"/>
      <c r="IN162" s="179"/>
      <c r="IO162" s="179"/>
      <c r="IP162" s="179"/>
      <c r="IQ162" s="179"/>
    </row>
    <row r="163" spans="1:251">
      <c r="A163" s="325" t="s">
        <v>1603</v>
      </c>
      <c r="B163" s="194">
        <f>B148*1.5</f>
        <v>59682.104999999996</v>
      </c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79"/>
      <c r="BF163" s="179"/>
      <c r="BG163" s="179"/>
      <c r="BH163" s="179"/>
      <c r="BI163" s="179"/>
      <c r="BJ163" s="179"/>
      <c r="BK163" s="179"/>
      <c r="BL163" s="179"/>
      <c r="BM163" s="179"/>
      <c r="BN163" s="179"/>
      <c r="BO163" s="179"/>
      <c r="BP163" s="179"/>
      <c r="BQ163" s="179"/>
      <c r="BR163" s="179"/>
      <c r="BS163" s="179"/>
      <c r="BT163" s="179"/>
      <c r="BU163" s="179"/>
      <c r="BV163" s="179"/>
      <c r="BW163" s="179"/>
      <c r="BX163" s="179"/>
      <c r="BY163" s="179"/>
      <c r="BZ163" s="179"/>
      <c r="CA163" s="179"/>
      <c r="CB163" s="179"/>
      <c r="CC163" s="179"/>
      <c r="CD163" s="179"/>
      <c r="CE163" s="179"/>
      <c r="CF163" s="179"/>
      <c r="CG163" s="179"/>
      <c r="CH163" s="179"/>
      <c r="CI163" s="179"/>
      <c r="CJ163" s="179"/>
      <c r="CK163" s="179"/>
      <c r="CL163" s="179"/>
      <c r="CM163" s="179"/>
      <c r="CN163" s="179"/>
      <c r="CO163" s="179"/>
      <c r="CP163" s="179"/>
      <c r="CQ163" s="179"/>
      <c r="CR163" s="179"/>
      <c r="CS163" s="179"/>
      <c r="CT163" s="179"/>
      <c r="CU163" s="179"/>
      <c r="CV163" s="179"/>
      <c r="CW163" s="179"/>
      <c r="CX163" s="179"/>
      <c r="CY163" s="179"/>
      <c r="CZ163" s="179"/>
      <c r="DA163" s="179"/>
      <c r="DB163" s="179"/>
      <c r="DC163" s="179"/>
      <c r="DD163" s="179"/>
      <c r="DE163" s="179"/>
      <c r="DF163" s="179"/>
      <c r="DG163" s="179"/>
      <c r="DH163" s="179"/>
      <c r="DI163" s="179"/>
      <c r="DJ163" s="179"/>
      <c r="DK163" s="179"/>
      <c r="DL163" s="179"/>
      <c r="DM163" s="179"/>
      <c r="DN163" s="179"/>
      <c r="DO163" s="179"/>
      <c r="DP163" s="179"/>
      <c r="DQ163" s="179"/>
      <c r="DR163" s="179"/>
      <c r="DS163" s="179"/>
      <c r="DT163" s="179"/>
      <c r="DU163" s="179"/>
      <c r="DV163" s="179"/>
      <c r="DW163" s="179"/>
      <c r="DX163" s="179"/>
      <c r="DY163" s="179"/>
      <c r="DZ163" s="179"/>
      <c r="EA163" s="179"/>
      <c r="EB163" s="179"/>
      <c r="EC163" s="179"/>
      <c r="ED163" s="179"/>
      <c r="EE163" s="179"/>
      <c r="EF163" s="179"/>
      <c r="EG163" s="179"/>
      <c r="EH163" s="179"/>
      <c r="EI163" s="179"/>
      <c r="EJ163" s="179"/>
      <c r="EK163" s="179"/>
      <c r="EL163" s="179"/>
      <c r="EM163" s="179"/>
      <c r="EN163" s="179"/>
      <c r="EO163" s="179"/>
      <c r="EP163" s="179"/>
      <c r="EQ163" s="179"/>
      <c r="ER163" s="179"/>
      <c r="ES163" s="179"/>
      <c r="ET163" s="179"/>
      <c r="EU163" s="179"/>
      <c r="EV163" s="179"/>
      <c r="EW163" s="179"/>
      <c r="EX163" s="179"/>
      <c r="EY163" s="179"/>
      <c r="EZ163" s="179"/>
      <c r="FA163" s="179"/>
      <c r="FB163" s="179"/>
      <c r="FC163" s="179"/>
      <c r="FD163" s="179"/>
      <c r="FE163" s="179"/>
      <c r="FF163" s="179"/>
      <c r="FG163" s="179"/>
      <c r="FH163" s="179"/>
      <c r="FI163" s="179"/>
      <c r="FJ163" s="179"/>
      <c r="FK163" s="179"/>
      <c r="FL163" s="179"/>
      <c r="FM163" s="179"/>
      <c r="FN163" s="179"/>
      <c r="FO163" s="179"/>
      <c r="FP163" s="179"/>
      <c r="FQ163" s="179"/>
      <c r="FR163" s="179"/>
      <c r="FS163" s="179"/>
      <c r="FT163" s="179"/>
      <c r="FU163" s="179"/>
      <c r="FV163" s="179"/>
      <c r="FW163" s="179"/>
      <c r="FX163" s="179"/>
      <c r="FY163" s="179"/>
      <c r="FZ163" s="179"/>
      <c r="GA163" s="179"/>
      <c r="GB163" s="179"/>
      <c r="GC163" s="179"/>
      <c r="GD163" s="179"/>
      <c r="GE163" s="179"/>
      <c r="GF163" s="179"/>
      <c r="GG163" s="179"/>
      <c r="GH163" s="179"/>
      <c r="GI163" s="179"/>
      <c r="GJ163" s="179"/>
      <c r="GK163" s="179"/>
      <c r="GL163" s="179"/>
      <c r="GM163" s="179"/>
      <c r="GN163" s="179"/>
      <c r="GO163" s="179"/>
      <c r="GP163" s="179"/>
      <c r="GQ163" s="179"/>
      <c r="GR163" s="179"/>
      <c r="GS163" s="179"/>
      <c r="GT163" s="179"/>
      <c r="GU163" s="179"/>
      <c r="GV163" s="179"/>
      <c r="GW163" s="179"/>
      <c r="GX163" s="179"/>
      <c r="GY163" s="179"/>
      <c r="GZ163" s="179"/>
      <c r="HA163" s="179"/>
      <c r="HB163" s="179"/>
      <c r="HC163" s="179"/>
      <c r="HD163" s="179"/>
      <c r="HE163" s="179"/>
      <c r="HF163" s="179"/>
      <c r="HG163" s="179"/>
      <c r="HH163" s="179"/>
      <c r="HI163" s="179"/>
      <c r="HJ163" s="179"/>
      <c r="HK163" s="179"/>
      <c r="HL163" s="179"/>
      <c r="HM163" s="179"/>
      <c r="HN163" s="179"/>
      <c r="HO163" s="179"/>
      <c r="HP163" s="179"/>
      <c r="HQ163" s="179"/>
      <c r="HR163" s="179"/>
      <c r="HS163" s="179"/>
      <c r="HT163" s="179"/>
      <c r="HU163" s="179"/>
      <c r="HV163" s="179"/>
      <c r="HW163" s="179"/>
      <c r="HX163" s="179"/>
      <c r="HY163" s="179"/>
      <c r="HZ163" s="179"/>
      <c r="IA163" s="179"/>
      <c r="IB163" s="179"/>
      <c r="IC163" s="179"/>
      <c r="ID163" s="179"/>
      <c r="IE163" s="179"/>
      <c r="IF163" s="179"/>
      <c r="IG163" s="179"/>
      <c r="IH163" s="179"/>
      <c r="II163" s="179"/>
      <c r="IJ163" s="179"/>
      <c r="IK163" s="179"/>
      <c r="IL163" s="179"/>
      <c r="IM163" s="179"/>
      <c r="IN163" s="179"/>
      <c r="IO163" s="179"/>
      <c r="IP163" s="179"/>
      <c r="IQ163" s="179"/>
    </row>
    <row r="164" spans="1:251">
      <c r="A164" s="325" t="s">
        <v>724</v>
      </c>
      <c r="B164" s="194">
        <f>8161.52*1.5</f>
        <v>12242.28</v>
      </c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  <c r="BD164" s="179"/>
      <c r="BE164" s="179"/>
      <c r="BF164" s="179"/>
      <c r="BG164" s="179"/>
      <c r="BH164" s="179"/>
      <c r="BI164" s="179"/>
      <c r="BJ164" s="179"/>
      <c r="BK164" s="179"/>
      <c r="BL164" s="179"/>
      <c r="BM164" s="179"/>
      <c r="BN164" s="179"/>
      <c r="BO164" s="179"/>
      <c r="BP164" s="179"/>
      <c r="BQ164" s="179"/>
      <c r="BR164" s="179"/>
      <c r="BS164" s="179"/>
      <c r="BT164" s="179"/>
      <c r="BU164" s="179"/>
      <c r="BV164" s="179"/>
      <c r="BW164" s="179"/>
      <c r="BX164" s="179"/>
      <c r="BY164" s="179"/>
      <c r="BZ164" s="179"/>
      <c r="CA164" s="179"/>
      <c r="CB164" s="179"/>
      <c r="CC164" s="179"/>
      <c r="CD164" s="179"/>
      <c r="CE164" s="179"/>
      <c r="CF164" s="179"/>
      <c r="CG164" s="179"/>
      <c r="CH164" s="179"/>
      <c r="CI164" s="179"/>
      <c r="CJ164" s="179"/>
      <c r="CK164" s="179"/>
      <c r="CL164" s="179"/>
      <c r="CM164" s="179"/>
      <c r="CN164" s="179"/>
      <c r="CO164" s="179"/>
      <c r="CP164" s="179"/>
      <c r="CQ164" s="179"/>
      <c r="CR164" s="179"/>
      <c r="CS164" s="179"/>
      <c r="CT164" s="179"/>
      <c r="CU164" s="179"/>
      <c r="CV164" s="179"/>
      <c r="CW164" s="179"/>
      <c r="CX164" s="179"/>
      <c r="CY164" s="179"/>
      <c r="CZ164" s="179"/>
      <c r="DA164" s="179"/>
      <c r="DB164" s="179"/>
      <c r="DC164" s="179"/>
      <c r="DD164" s="179"/>
      <c r="DE164" s="179"/>
      <c r="DF164" s="179"/>
      <c r="DG164" s="179"/>
      <c r="DH164" s="179"/>
      <c r="DI164" s="179"/>
      <c r="DJ164" s="179"/>
      <c r="DK164" s="179"/>
      <c r="DL164" s="179"/>
      <c r="DM164" s="179"/>
      <c r="DN164" s="179"/>
      <c r="DO164" s="179"/>
      <c r="DP164" s="179"/>
      <c r="DQ164" s="179"/>
      <c r="DR164" s="179"/>
      <c r="DS164" s="179"/>
      <c r="DT164" s="179"/>
      <c r="DU164" s="179"/>
      <c r="DV164" s="179"/>
      <c r="DW164" s="179"/>
      <c r="DX164" s="179"/>
      <c r="DY164" s="179"/>
      <c r="DZ164" s="179"/>
      <c r="EA164" s="179"/>
      <c r="EB164" s="179"/>
      <c r="EC164" s="179"/>
      <c r="ED164" s="179"/>
      <c r="EE164" s="179"/>
      <c r="EF164" s="179"/>
      <c r="EG164" s="179"/>
      <c r="EH164" s="179"/>
      <c r="EI164" s="179"/>
      <c r="EJ164" s="179"/>
      <c r="EK164" s="179"/>
      <c r="EL164" s="179"/>
      <c r="EM164" s="179"/>
      <c r="EN164" s="179"/>
      <c r="EO164" s="179"/>
      <c r="EP164" s="179"/>
      <c r="EQ164" s="179"/>
      <c r="ER164" s="179"/>
      <c r="ES164" s="179"/>
      <c r="ET164" s="179"/>
      <c r="EU164" s="179"/>
      <c r="EV164" s="179"/>
      <c r="EW164" s="179"/>
      <c r="EX164" s="179"/>
      <c r="EY164" s="179"/>
      <c r="EZ164" s="179"/>
      <c r="FA164" s="179"/>
      <c r="FB164" s="179"/>
      <c r="FC164" s="179"/>
      <c r="FD164" s="179"/>
      <c r="FE164" s="179"/>
      <c r="FF164" s="179"/>
      <c r="FG164" s="179"/>
      <c r="FH164" s="179"/>
      <c r="FI164" s="179"/>
      <c r="FJ164" s="179"/>
      <c r="FK164" s="179"/>
      <c r="FL164" s="179"/>
      <c r="FM164" s="179"/>
      <c r="FN164" s="179"/>
      <c r="FO164" s="179"/>
      <c r="FP164" s="179"/>
      <c r="FQ164" s="179"/>
      <c r="FR164" s="179"/>
      <c r="FS164" s="179"/>
      <c r="FT164" s="179"/>
      <c r="FU164" s="179"/>
      <c r="FV164" s="179"/>
      <c r="FW164" s="179"/>
      <c r="FX164" s="179"/>
      <c r="FY164" s="179"/>
      <c r="FZ164" s="179"/>
      <c r="GA164" s="179"/>
      <c r="GB164" s="179"/>
      <c r="GC164" s="179"/>
      <c r="GD164" s="179"/>
      <c r="GE164" s="179"/>
      <c r="GF164" s="179"/>
      <c r="GG164" s="179"/>
      <c r="GH164" s="179"/>
      <c r="GI164" s="179"/>
      <c r="GJ164" s="179"/>
      <c r="GK164" s="179"/>
      <c r="GL164" s="179"/>
      <c r="GM164" s="179"/>
      <c r="GN164" s="179"/>
      <c r="GO164" s="179"/>
      <c r="GP164" s="179"/>
      <c r="GQ164" s="179"/>
      <c r="GR164" s="179"/>
      <c r="GS164" s="179"/>
      <c r="GT164" s="179"/>
      <c r="GU164" s="179"/>
      <c r="GV164" s="179"/>
      <c r="GW164" s="179"/>
      <c r="GX164" s="179"/>
      <c r="GY164" s="179"/>
      <c r="GZ164" s="179"/>
      <c r="HA164" s="179"/>
      <c r="HB164" s="179"/>
      <c r="HC164" s="179"/>
      <c r="HD164" s="179"/>
      <c r="HE164" s="179"/>
      <c r="HF164" s="179"/>
      <c r="HG164" s="179"/>
      <c r="HH164" s="179"/>
      <c r="HI164" s="179"/>
      <c r="HJ164" s="179"/>
      <c r="HK164" s="179"/>
      <c r="HL164" s="179"/>
      <c r="HM164" s="179"/>
      <c r="HN164" s="179"/>
      <c r="HO164" s="179"/>
      <c r="HP164" s="179"/>
      <c r="HQ164" s="179"/>
      <c r="HR164" s="179"/>
      <c r="HS164" s="179"/>
      <c r="HT164" s="179"/>
      <c r="HU164" s="179"/>
      <c r="HV164" s="179"/>
      <c r="HW164" s="179"/>
      <c r="HX164" s="179"/>
      <c r="HY164" s="179"/>
      <c r="HZ164" s="179"/>
      <c r="IA164" s="179"/>
      <c r="IB164" s="179"/>
      <c r="IC164" s="179"/>
      <c r="ID164" s="179"/>
      <c r="IE164" s="179"/>
      <c r="IF164" s="179"/>
      <c r="IG164" s="179"/>
      <c r="IH164" s="179"/>
      <c r="II164" s="179"/>
      <c r="IJ164" s="179"/>
      <c r="IK164" s="179"/>
      <c r="IL164" s="179"/>
      <c r="IM164" s="179"/>
      <c r="IN164" s="179"/>
      <c r="IO164" s="179"/>
      <c r="IP164" s="179"/>
      <c r="IQ164" s="179"/>
    </row>
    <row r="165" spans="1:251">
      <c r="A165" s="325" t="s">
        <v>3821</v>
      </c>
      <c r="B165" s="194">
        <f>2300*12</f>
        <v>27600</v>
      </c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179"/>
      <c r="AK165" s="179"/>
      <c r="AL165" s="179"/>
      <c r="AM165" s="179"/>
      <c r="AN165" s="179"/>
      <c r="AO165" s="179"/>
      <c r="AP165" s="179"/>
      <c r="AQ165" s="179"/>
      <c r="AR165" s="179"/>
      <c r="AS165" s="179"/>
      <c r="AT165" s="179"/>
      <c r="AU165" s="179"/>
      <c r="AV165" s="179"/>
      <c r="AW165" s="179"/>
      <c r="AX165" s="179"/>
      <c r="AY165" s="179"/>
      <c r="AZ165" s="179"/>
      <c r="BA165" s="179"/>
      <c r="BB165" s="179"/>
      <c r="BC165" s="179"/>
      <c r="BD165" s="179"/>
      <c r="BE165" s="179"/>
      <c r="BF165" s="179"/>
      <c r="BG165" s="179"/>
      <c r="BH165" s="179"/>
      <c r="BI165" s="179"/>
      <c r="BJ165" s="179"/>
      <c r="BK165" s="179"/>
      <c r="BL165" s="179"/>
      <c r="BM165" s="179"/>
      <c r="BN165" s="179"/>
      <c r="BO165" s="179"/>
      <c r="BP165" s="179"/>
      <c r="BQ165" s="179"/>
      <c r="BR165" s="179"/>
      <c r="BS165" s="179"/>
      <c r="BT165" s="179"/>
      <c r="BU165" s="179"/>
      <c r="BV165" s="179"/>
      <c r="BW165" s="179"/>
      <c r="BX165" s="179"/>
      <c r="BY165" s="179"/>
      <c r="BZ165" s="179"/>
      <c r="CA165" s="179"/>
      <c r="CB165" s="179"/>
      <c r="CC165" s="179"/>
      <c r="CD165" s="179"/>
      <c r="CE165" s="179"/>
      <c r="CF165" s="179"/>
      <c r="CG165" s="179"/>
      <c r="CH165" s="179"/>
      <c r="CI165" s="179"/>
      <c r="CJ165" s="179"/>
      <c r="CK165" s="179"/>
      <c r="CL165" s="179"/>
      <c r="CM165" s="179"/>
      <c r="CN165" s="179"/>
      <c r="CO165" s="179"/>
      <c r="CP165" s="179"/>
      <c r="CQ165" s="179"/>
      <c r="CR165" s="179"/>
      <c r="CS165" s="179"/>
      <c r="CT165" s="179"/>
      <c r="CU165" s="179"/>
      <c r="CV165" s="179"/>
      <c r="CW165" s="179"/>
      <c r="CX165" s="179"/>
      <c r="CY165" s="179"/>
      <c r="CZ165" s="179"/>
      <c r="DA165" s="179"/>
      <c r="DB165" s="179"/>
      <c r="DC165" s="179"/>
      <c r="DD165" s="179"/>
      <c r="DE165" s="179"/>
      <c r="DF165" s="179"/>
      <c r="DG165" s="179"/>
      <c r="DH165" s="179"/>
      <c r="DI165" s="179"/>
      <c r="DJ165" s="179"/>
      <c r="DK165" s="179"/>
      <c r="DL165" s="179"/>
      <c r="DM165" s="179"/>
      <c r="DN165" s="179"/>
      <c r="DO165" s="179"/>
      <c r="DP165" s="179"/>
      <c r="DQ165" s="179"/>
      <c r="DR165" s="179"/>
      <c r="DS165" s="179"/>
      <c r="DT165" s="179"/>
      <c r="DU165" s="179"/>
      <c r="DV165" s="179"/>
      <c r="DW165" s="179"/>
      <c r="DX165" s="179"/>
      <c r="DY165" s="179"/>
      <c r="DZ165" s="179"/>
      <c r="EA165" s="179"/>
      <c r="EB165" s="179"/>
      <c r="EC165" s="179"/>
      <c r="ED165" s="179"/>
      <c r="EE165" s="179"/>
      <c r="EF165" s="179"/>
      <c r="EG165" s="179"/>
      <c r="EH165" s="179"/>
      <c r="EI165" s="179"/>
      <c r="EJ165" s="179"/>
      <c r="EK165" s="179"/>
      <c r="EL165" s="179"/>
      <c r="EM165" s="179"/>
      <c r="EN165" s="179"/>
      <c r="EO165" s="179"/>
      <c r="EP165" s="179"/>
      <c r="EQ165" s="179"/>
      <c r="ER165" s="179"/>
      <c r="ES165" s="179"/>
      <c r="ET165" s="179"/>
      <c r="EU165" s="179"/>
      <c r="EV165" s="179"/>
      <c r="EW165" s="179"/>
      <c r="EX165" s="179"/>
      <c r="EY165" s="179"/>
      <c r="EZ165" s="179"/>
      <c r="FA165" s="179"/>
      <c r="FB165" s="179"/>
      <c r="FC165" s="179"/>
      <c r="FD165" s="179"/>
      <c r="FE165" s="179"/>
      <c r="FF165" s="179"/>
      <c r="FG165" s="179"/>
      <c r="FH165" s="179"/>
      <c r="FI165" s="179"/>
      <c r="FJ165" s="179"/>
      <c r="FK165" s="179"/>
      <c r="FL165" s="179"/>
      <c r="FM165" s="179"/>
      <c r="FN165" s="179"/>
      <c r="FO165" s="179"/>
      <c r="FP165" s="179"/>
      <c r="FQ165" s="179"/>
      <c r="FR165" s="179"/>
      <c r="FS165" s="179"/>
      <c r="FT165" s="179"/>
      <c r="FU165" s="179"/>
      <c r="FV165" s="179"/>
      <c r="FW165" s="179"/>
      <c r="FX165" s="179"/>
      <c r="FY165" s="179"/>
      <c r="FZ165" s="179"/>
      <c r="GA165" s="179"/>
      <c r="GB165" s="179"/>
      <c r="GC165" s="179"/>
      <c r="GD165" s="179"/>
      <c r="GE165" s="179"/>
      <c r="GF165" s="179"/>
      <c r="GG165" s="179"/>
      <c r="GH165" s="179"/>
      <c r="GI165" s="179"/>
      <c r="GJ165" s="179"/>
      <c r="GK165" s="179"/>
      <c r="GL165" s="179"/>
      <c r="GM165" s="179"/>
      <c r="GN165" s="179"/>
      <c r="GO165" s="179"/>
      <c r="GP165" s="179"/>
      <c r="GQ165" s="179"/>
      <c r="GR165" s="179"/>
      <c r="GS165" s="179"/>
      <c r="GT165" s="179"/>
      <c r="GU165" s="179"/>
      <c r="GV165" s="179"/>
      <c r="GW165" s="179"/>
      <c r="GX165" s="179"/>
      <c r="GY165" s="179"/>
      <c r="GZ165" s="179"/>
      <c r="HA165" s="179"/>
      <c r="HB165" s="179"/>
      <c r="HC165" s="179"/>
      <c r="HD165" s="179"/>
      <c r="HE165" s="179"/>
      <c r="HF165" s="179"/>
      <c r="HG165" s="179"/>
      <c r="HH165" s="179"/>
      <c r="HI165" s="179"/>
      <c r="HJ165" s="179"/>
      <c r="HK165" s="179"/>
      <c r="HL165" s="179"/>
      <c r="HM165" s="179"/>
      <c r="HN165" s="179"/>
      <c r="HO165" s="179"/>
      <c r="HP165" s="179"/>
      <c r="HQ165" s="179"/>
      <c r="HR165" s="179"/>
      <c r="HS165" s="179"/>
      <c r="HT165" s="179"/>
      <c r="HU165" s="179"/>
      <c r="HV165" s="179"/>
      <c r="HW165" s="179"/>
      <c r="HX165" s="179"/>
      <c r="HY165" s="179"/>
      <c r="HZ165" s="179"/>
      <c r="IA165" s="179"/>
      <c r="IB165" s="179"/>
      <c r="IC165" s="179"/>
      <c r="ID165" s="179"/>
      <c r="IE165" s="179"/>
      <c r="IF165" s="179"/>
      <c r="IG165" s="179"/>
      <c r="IH165" s="179"/>
      <c r="II165" s="179"/>
      <c r="IJ165" s="179"/>
      <c r="IK165" s="179"/>
      <c r="IL165" s="179"/>
      <c r="IM165" s="179"/>
      <c r="IN165" s="179"/>
      <c r="IO165" s="179"/>
      <c r="IP165" s="179"/>
      <c r="IQ165" s="179"/>
    </row>
    <row r="166" spans="1:251">
      <c r="A166" s="325" t="s">
        <v>1599</v>
      </c>
      <c r="B166" s="194">
        <v>41518.300000000003</v>
      </c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  <c r="AN166" s="179"/>
      <c r="AO166" s="179"/>
      <c r="AP166" s="179"/>
      <c r="AQ166" s="179"/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  <c r="BD166" s="179"/>
      <c r="BE166" s="179"/>
      <c r="BF166" s="179"/>
      <c r="BG166" s="179"/>
      <c r="BH166" s="179"/>
      <c r="BI166" s="179"/>
      <c r="BJ166" s="179"/>
      <c r="BK166" s="179"/>
      <c r="BL166" s="179"/>
      <c r="BM166" s="179"/>
      <c r="BN166" s="179"/>
      <c r="BO166" s="179"/>
      <c r="BP166" s="179"/>
      <c r="BQ166" s="179"/>
      <c r="BR166" s="179"/>
      <c r="BS166" s="179"/>
      <c r="BT166" s="179"/>
      <c r="BU166" s="179"/>
      <c r="BV166" s="179"/>
      <c r="BW166" s="179"/>
      <c r="BX166" s="179"/>
      <c r="BY166" s="179"/>
      <c r="BZ166" s="179"/>
      <c r="CA166" s="179"/>
      <c r="CB166" s="179"/>
      <c r="CC166" s="179"/>
      <c r="CD166" s="179"/>
      <c r="CE166" s="179"/>
      <c r="CF166" s="179"/>
      <c r="CG166" s="179"/>
      <c r="CH166" s="179"/>
      <c r="CI166" s="179"/>
      <c r="CJ166" s="179"/>
      <c r="CK166" s="179"/>
      <c r="CL166" s="179"/>
      <c r="CM166" s="179"/>
      <c r="CN166" s="179"/>
      <c r="CO166" s="179"/>
      <c r="CP166" s="179"/>
      <c r="CQ166" s="179"/>
      <c r="CR166" s="179"/>
      <c r="CS166" s="179"/>
      <c r="CT166" s="179"/>
      <c r="CU166" s="179"/>
      <c r="CV166" s="179"/>
      <c r="CW166" s="179"/>
      <c r="CX166" s="179"/>
      <c r="CY166" s="179"/>
      <c r="CZ166" s="179"/>
      <c r="DA166" s="179"/>
      <c r="DB166" s="179"/>
      <c r="DC166" s="179"/>
      <c r="DD166" s="179"/>
      <c r="DE166" s="179"/>
      <c r="DF166" s="179"/>
      <c r="DG166" s="179"/>
      <c r="DH166" s="179"/>
      <c r="DI166" s="179"/>
      <c r="DJ166" s="179"/>
      <c r="DK166" s="179"/>
      <c r="DL166" s="179"/>
      <c r="DM166" s="179"/>
      <c r="DN166" s="179"/>
      <c r="DO166" s="179"/>
      <c r="DP166" s="179"/>
      <c r="DQ166" s="179"/>
      <c r="DR166" s="179"/>
      <c r="DS166" s="179"/>
      <c r="DT166" s="179"/>
      <c r="DU166" s="179"/>
      <c r="DV166" s="179"/>
      <c r="DW166" s="179"/>
      <c r="DX166" s="179"/>
      <c r="DY166" s="179"/>
      <c r="DZ166" s="179"/>
      <c r="EA166" s="179"/>
      <c r="EB166" s="179"/>
      <c r="EC166" s="179"/>
      <c r="ED166" s="179"/>
      <c r="EE166" s="179"/>
      <c r="EF166" s="179"/>
      <c r="EG166" s="179"/>
      <c r="EH166" s="179"/>
      <c r="EI166" s="179"/>
      <c r="EJ166" s="179"/>
      <c r="EK166" s="179"/>
      <c r="EL166" s="179"/>
      <c r="EM166" s="179"/>
      <c r="EN166" s="179"/>
      <c r="EO166" s="179"/>
      <c r="EP166" s="179"/>
      <c r="EQ166" s="179"/>
      <c r="ER166" s="179"/>
      <c r="ES166" s="179"/>
      <c r="ET166" s="179"/>
      <c r="EU166" s="179"/>
      <c r="EV166" s="179"/>
      <c r="EW166" s="179"/>
      <c r="EX166" s="179"/>
      <c r="EY166" s="179"/>
      <c r="EZ166" s="179"/>
      <c r="FA166" s="179"/>
      <c r="FB166" s="179"/>
      <c r="FC166" s="179"/>
      <c r="FD166" s="179"/>
      <c r="FE166" s="179"/>
      <c r="FF166" s="179"/>
      <c r="FG166" s="179"/>
      <c r="FH166" s="179"/>
      <c r="FI166" s="179"/>
      <c r="FJ166" s="179"/>
      <c r="FK166" s="179"/>
      <c r="FL166" s="179"/>
      <c r="FM166" s="179"/>
      <c r="FN166" s="179"/>
      <c r="FO166" s="179"/>
      <c r="FP166" s="179"/>
      <c r="FQ166" s="179"/>
      <c r="FR166" s="179"/>
      <c r="FS166" s="179"/>
      <c r="FT166" s="179"/>
      <c r="FU166" s="179"/>
      <c r="FV166" s="179"/>
      <c r="FW166" s="179"/>
      <c r="FX166" s="179"/>
      <c r="FY166" s="179"/>
      <c r="FZ166" s="179"/>
      <c r="GA166" s="179"/>
      <c r="GB166" s="179"/>
      <c r="GC166" s="179"/>
      <c r="GD166" s="179"/>
      <c r="GE166" s="179"/>
      <c r="GF166" s="179"/>
      <c r="GG166" s="179"/>
      <c r="GH166" s="179"/>
      <c r="GI166" s="179"/>
      <c r="GJ166" s="179"/>
      <c r="GK166" s="179"/>
      <c r="GL166" s="179"/>
      <c r="GM166" s="179"/>
      <c r="GN166" s="179"/>
      <c r="GO166" s="179"/>
      <c r="GP166" s="179"/>
      <c r="GQ166" s="179"/>
      <c r="GR166" s="179"/>
      <c r="GS166" s="179"/>
      <c r="GT166" s="179"/>
      <c r="GU166" s="179"/>
      <c r="GV166" s="179"/>
      <c r="GW166" s="179"/>
      <c r="GX166" s="179"/>
      <c r="GY166" s="179"/>
      <c r="GZ166" s="179"/>
      <c r="HA166" s="179"/>
      <c r="HB166" s="179"/>
      <c r="HC166" s="179"/>
      <c r="HD166" s="179"/>
      <c r="HE166" s="179"/>
      <c r="HF166" s="179"/>
      <c r="HG166" s="179"/>
      <c r="HH166" s="179"/>
      <c r="HI166" s="179"/>
      <c r="HJ166" s="179"/>
      <c r="HK166" s="179"/>
      <c r="HL166" s="179"/>
      <c r="HM166" s="179"/>
      <c r="HN166" s="179"/>
      <c r="HO166" s="179"/>
      <c r="HP166" s="179"/>
      <c r="HQ166" s="179"/>
      <c r="HR166" s="179"/>
      <c r="HS166" s="179"/>
      <c r="HT166" s="179"/>
      <c r="HU166" s="179"/>
      <c r="HV166" s="179"/>
      <c r="HW166" s="179"/>
      <c r="HX166" s="179"/>
      <c r="HY166" s="179"/>
      <c r="HZ166" s="179"/>
      <c r="IA166" s="179"/>
      <c r="IB166" s="179"/>
      <c r="IC166" s="179"/>
      <c r="ID166" s="179"/>
      <c r="IE166" s="179"/>
      <c r="IF166" s="179"/>
      <c r="IG166" s="179"/>
      <c r="IH166" s="179"/>
      <c r="II166" s="179"/>
      <c r="IJ166" s="179"/>
      <c r="IK166" s="179"/>
      <c r="IL166" s="179"/>
      <c r="IM166" s="179"/>
      <c r="IN166" s="179"/>
      <c r="IO166" s="179"/>
      <c r="IP166" s="179"/>
      <c r="IQ166" s="179"/>
    </row>
    <row r="167" spans="1:251" s="75" customFormat="1">
      <c r="A167" s="542" t="s">
        <v>1762</v>
      </c>
      <c r="B167" s="194">
        <f>B151-B153-B166</f>
        <v>8110.0674005130277</v>
      </c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197"/>
      <c r="BC167" s="197"/>
      <c r="BD167" s="197"/>
      <c r="BE167" s="197"/>
      <c r="BF167" s="197"/>
      <c r="BG167" s="197"/>
      <c r="BH167" s="197"/>
      <c r="BI167" s="197"/>
      <c r="BJ167" s="197"/>
      <c r="BK167" s="197"/>
      <c r="BL167" s="197"/>
      <c r="BM167" s="197"/>
      <c r="BN167" s="197"/>
      <c r="BO167" s="197"/>
      <c r="BP167" s="197"/>
      <c r="BQ167" s="197"/>
      <c r="BR167" s="197"/>
      <c r="BS167" s="197"/>
      <c r="BT167" s="197"/>
      <c r="BU167" s="197"/>
      <c r="BV167" s="197"/>
      <c r="BW167" s="197"/>
      <c r="BX167" s="197"/>
      <c r="BY167" s="197"/>
      <c r="BZ167" s="197"/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7"/>
      <c r="CM167" s="197"/>
      <c r="CN167" s="197"/>
      <c r="CO167" s="197"/>
      <c r="CP167" s="197"/>
      <c r="CQ167" s="197"/>
      <c r="CR167" s="197"/>
      <c r="CS167" s="197"/>
      <c r="CT167" s="197"/>
      <c r="CU167" s="197"/>
      <c r="CV167" s="197"/>
      <c r="CW167" s="197"/>
      <c r="CX167" s="197"/>
      <c r="CY167" s="197"/>
      <c r="CZ167" s="197"/>
      <c r="DA167" s="197"/>
      <c r="DB167" s="197"/>
      <c r="DC167" s="197"/>
      <c r="DD167" s="197"/>
      <c r="DE167" s="197"/>
      <c r="DF167" s="197"/>
      <c r="DG167" s="197"/>
      <c r="DH167" s="197"/>
      <c r="DI167" s="197"/>
      <c r="DJ167" s="197"/>
      <c r="DK167" s="197"/>
      <c r="DL167" s="197"/>
      <c r="DM167" s="197"/>
      <c r="DN167" s="197"/>
      <c r="DO167" s="197"/>
      <c r="DP167" s="197"/>
      <c r="DQ167" s="197"/>
      <c r="DR167" s="197"/>
      <c r="DS167" s="197"/>
      <c r="DT167" s="197"/>
      <c r="DU167" s="197"/>
      <c r="DV167" s="197"/>
      <c r="DW167" s="197"/>
      <c r="DX167" s="197"/>
      <c r="DY167" s="197"/>
      <c r="DZ167" s="197"/>
      <c r="EA167" s="197"/>
      <c r="EB167" s="197"/>
      <c r="EC167" s="197"/>
      <c r="ED167" s="197"/>
      <c r="EE167" s="197"/>
      <c r="EF167" s="197"/>
      <c r="EG167" s="197"/>
      <c r="EH167" s="197"/>
      <c r="EI167" s="197"/>
      <c r="EJ167" s="197"/>
      <c r="EK167" s="197"/>
      <c r="EL167" s="197"/>
      <c r="EM167" s="197"/>
      <c r="EN167" s="197"/>
      <c r="EO167" s="197"/>
      <c r="EP167" s="197"/>
      <c r="EQ167" s="197"/>
      <c r="ER167" s="197"/>
      <c r="ES167" s="197"/>
      <c r="ET167" s="197"/>
      <c r="EU167" s="197"/>
      <c r="EV167" s="197"/>
      <c r="EW167" s="197"/>
      <c r="EX167" s="197"/>
      <c r="EY167" s="197"/>
      <c r="EZ167" s="197"/>
      <c r="FA167" s="197"/>
      <c r="FB167" s="197"/>
      <c r="FC167" s="197"/>
      <c r="FD167" s="197"/>
      <c r="FE167" s="197"/>
      <c r="FF167" s="197"/>
      <c r="FG167" s="197"/>
      <c r="FH167" s="197"/>
      <c r="FI167" s="197"/>
      <c r="FJ167" s="197"/>
      <c r="FK167" s="197"/>
      <c r="FL167" s="197"/>
      <c r="FM167" s="197"/>
      <c r="FN167" s="197"/>
      <c r="FO167" s="197"/>
      <c r="FP167" s="197"/>
      <c r="FQ167" s="197"/>
      <c r="FR167" s="197"/>
      <c r="FS167" s="197"/>
      <c r="FT167" s="197"/>
      <c r="FU167" s="197"/>
      <c r="FV167" s="197"/>
      <c r="FW167" s="197"/>
      <c r="FX167" s="197"/>
      <c r="FY167" s="197"/>
      <c r="FZ167" s="197"/>
      <c r="GA167" s="197"/>
      <c r="GB167" s="197"/>
      <c r="GC167" s="197"/>
      <c r="GD167" s="197"/>
      <c r="GE167" s="197"/>
      <c r="GF167" s="197"/>
      <c r="GG167" s="197"/>
      <c r="GH167" s="197"/>
      <c r="GI167" s="197"/>
      <c r="GJ167" s="197"/>
      <c r="GK167" s="197"/>
      <c r="GL167" s="197"/>
      <c r="GM167" s="197"/>
      <c r="GN167" s="197"/>
      <c r="GO167" s="197"/>
      <c r="GP167" s="197"/>
      <c r="GQ167" s="197"/>
      <c r="GR167" s="197"/>
      <c r="GS167" s="197"/>
      <c r="GT167" s="197"/>
      <c r="GU167" s="197"/>
      <c r="GV167" s="197"/>
      <c r="GW167" s="197"/>
      <c r="GX167" s="197"/>
      <c r="GY167" s="197"/>
      <c r="GZ167" s="197"/>
      <c r="HA167" s="197"/>
      <c r="HB167" s="197"/>
      <c r="HC167" s="197"/>
      <c r="HD167" s="197"/>
      <c r="HE167" s="197"/>
      <c r="HF167" s="197"/>
      <c r="HG167" s="197"/>
      <c r="HH167" s="197"/>
      <c r="HI167" s="197"/>
      <c r="HJ167" s="197"/>
      <c r="HK167" s="197"/>
      <c r="HL167" s="197"/>
      <c r="HM167" s="197"/>
      <c r="HN167" s="197"/>
      <c r="HO167" s="197"/>
      <c r="HP167" s="197"/>
      <c r="HQ167" s="197"/>
      <c r="HR167" s="197"/>
      <c r="HS167" s="197"/>
      <c r="HT167" s="197"/>
      <c r="HU167" s="197"/>
      <c r="HV167" s="197"/>
      <c r="HW167" s="197"/>
      <c r="HX167" s="197"/>
      <c r="HY167" s="197"/>
      <c r="HZ167" s="197"/>
      <c r="IA167" s="197"/>
      <c r="IB167" s="197"/>
      <c r="IC167" s="197"/>
      <c r="ID167" s="197"/>
      <c r="IE167" s="197"/>
      <c r="IF167" s="197"/>
      <c r="IG167" s="197"/>
      <c r="IH167" s="197"/>
      <c r="II167" s="197"/>
      <c r="IJ167" s="197"/>
      <c r="IK167" s="197"/>
      <c r="IL167" s="197"/>
      <c r="IM167" s="197"/>
      <c r="IN167" s="197"/>
    </row>
    <row r="168" spans="1:251" s="75" customFormat="1">
      <c r="A168" s="567"/>
      <c r="B168" s="568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  <c r="BT168" s="197"/>
      <c r="BU168" s="197"/>
      <c r="BV168" s="197"/>
      <c r="BW168" s="197"/>
      <c r="BX168" s="197"/>
      <c r="BY168" s="197"/>
      <c r="BZ168" s="197"/>
      <c r="CA168" s="197"/>
      <c r="CB168" s="197"/>
      <c r="CC168" s="197"/>
      <c r="CD168" s="197"/>
      <c r="CE168" s="197"/>
      <c r="CF168" s="197"/>
      <c r="CG168" s="197"/>
      <c r="CH168" s="197"/>
      <c r="CI168" s="197"/>
      <c r="CJ168" s="197"/>
      <c r="CK168" s="197"/>
      <c r="CL168" s="197"/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  <c r="DB168" s="197"/>
      <c r="DC168" s="197"/>
      <c r="DD168" s="197"/>
      <c r="DE168" s="197"/>
      <c r="DF168" s="197"/>
      <c r="DG168" s="197"/>
      <c r="DH168" s="197"/>
      <c r="DI168" s="197"/>
      <c r="DJ168" s="197"/>
      <c r="DK168" s="197"/>
      <c r="DL168" s="197"/>
      <c r="DM168" s="197"/>
      <c r="DN168" s="197"/>
      <c r="DO168" s="197"/>
      <c r="DP168" s="197"/>
      <c r="DQ168" s="197"/>
      <c r="DR168" s="197"/>
      <c r="DS168" s="197"/>
      <c r="DT168" s="197"/>
      <c r="DU168" s="197"/>
      <c r="DV168" s="197"/>
      <c r="DW168" s="197"/>
      <c r="DX168" s="197"/>
      <c r="DY168" s="197"/>
      <c r="DZ168" s="197"/>
      <c r="EA168" s="197"/>
      <c r="EB168" s="197"/>
      <c r="EC168" s="197"/>
      <c r="ED168" s="197"/>
      <c r="EE168" s="197"/>
      <c r="EF168" s="197"/>
      <c r="EG168" s="197"/>
      <c r="EH168" s="197"/>
      <c r="EI168" s="197"/>
      <c r="EJ168" s="197"/>
      <c r="EK168" s="197"/>
      <c r="EL168" s="197"/>
      <c r="EM168" s="197"/>
      <c r="EN168" s="197"/>
      <c r="EO168" s="197"/>
      <c r="EP168" s="197"/>
      <c r="EQ168" s="197"/>
      <c r="ER168" s="197"/>
      <c r="ES168" s="197"/>
      <c r="ET168" s="197"/>
      <c r="EU168" s="197"/>
      <c r="EV168" s="197"/>
      <c r="EW168" s="197"/>
      <c r="EX168" s="197"/>
      <c r="EY168" s="197"/>
      <c r="EZ168" s="197"/>
      <c r="FA168" s="197"/>
      <c r="FB168" s="197"/>
      <c r="FC168" s="197"/>
      <c r="FD168" s="197"/>
      <c r="FE168" s="197"/>
      <c r="FF168" s="197"/>
      <c r="FG168" s="197"/>
      <c r="FH168" s="197"/>
      <c r="FI168" s="197"/>
      <c r="FJ168" s="197"/>
      <c r="FK168" s="197"/>
      <c r="FL168" s="197"/>
      <c r="FM168" s="197"/>
      <c r="FN168" s="197"/>
      <c r="FO168" s="197"/>
      <c r="FP168" s="197"/>
      <c r="FQ168" s="197"/>
      <c r="FR168" s="197"/>
      <c r="FS168" s="197"/>
      <c r="FT168" s="197"/>
      <c r="FU168" s="197"/>
      <c r="FV168" s="197"/>
      <c r="FW168" s="197"/>
      <c r="FX168" s="197"/>
      <c r="FY168" s="197"/>
      <c r="FZ168" s="197"/>
      <c r="GA168" s="197"/>
      <c r="GB168" s="197"/>
      <c r="GC168" s="197"/>
      <c r="GD168" s="197"/>
      <c r="GE168" s="197"/>
      <c r="GF168" s="197"/>
      <c r="GG168" s="197"/>
      <c r="GH168" s="197"/>
      <c r="GI168" s="197"/>
      <c r="GJ168" s="197"/>
      <c r="GK168" s="197"/>
      <c r="GL168" s="197"/>
      <c r="GM168" s="197"/>
      <c r="GN168" s="197"/>
      <c r="GO168" s="197"/>
      <c r="GP168" s="197"/>
      <c r="GQ168" s="197"/>
      <c r="GR168" s="197"/>
      <c r="GS168" s="197"/>
      <c r="GT168" s="197"/>
      <c r="GU168" s="197"/>
      <c r="GV168" s="197"/>
      <c r="GW168" s="197"/>
      <c r="GX168" s="197"/>
      <c r="GY168" s="197"/>
      <c r="GZ168" s="197"/>
      <c r="HA168" s="197"/>
      <c r="HB168" s="197"/>
      <c r="HC168" s="197"/>
      <c r="HD168" s="197"/>
      <c r="HE168" s="197"/>
      <c r="HF168" s="197"/>
      <c r="HG168" s="197"/>
      <c r="HH168" s="197"/>
      <c r="HI168" s="197"/>
      <c r="HJ168" s="197"/>
      <c r="HK168" s="197"/>
      <c r="HL168" s="197"/>
      <c r="HM168" s="197"/>
      <c r="HN168" s="197"/>
      <c r="HO168" s="197"/>
      <c r="HP168" s="197"/>
      <c r="HQ168" s="197"/>
      <c r="HR168" s="197"/>
      <c r="HS168" s="197"/>
      <c r="HT168" s="197"/>
      <c r="HU168" s="197"/>
      <c r="HV168" s="197"/>
      <c r="HW168" s="197"/>
      <c r="HX168" s="197"/>
      <c r="HY168" s="197"/>
      <c r="HZ168" s="197"/>
      <c r="IA168" s="197"/>
      <c r="IB168" s="197"/>
      <c r="IC168" s="197"/>
      <c r="ID168" s="197"/>
      <c r="IE168" s="197"/>
      <c r="IF168" s="197"/>
      <c r="IG168" s="197"/>
      <c r="IH168" s="197"/>
      <c r="II168" s="197"/>
      <c r="IJ168" s="197"/>
      <c r="IK168" s="197"/>
      <c r="IL168" s="197"/>
      <c r="IM168" s="197"/>
      <c r="IN168" s="197"/>
    </row>
    <row r="169" spans="1:251">
      <c r="A169" s="566" t="s">
        <v>605</v>
      </c>
      <c r="B169" s="230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  <c r="FH169" s="179"/>
      <c r="FI169" s="179"/>
      <c r="FJ169" s="179"/>
      <c r="FK169" s="179"/>
      <c r="FL169" s="179"/>
      <c r="FM169" s="179"/>
      <c r="FN169" s="179"/>
      <c r="FO169" s="179"/>
      <c r="FP169" s="179"/>
      <c r="FQ169" s="179"/>
      <c r="FR169" s="179"/>
      <c r="FS169" s="179"/>
      <c r="FT169" s="179"/>
      <c r="FU169" s="179"/>
      <c r="FV169" s="179"/>
      <c r="FW169" s="179"/>
      <c r="FX169" s="179"/>
      <c r="FY169" s="179"/>
      <c r="FZ169" s="179"/>
      <c r="GA169" s="179"/>
      <c r="GB169" s="179"/>
      <c r="GC169" s="179"/>
      <c r="GD169" s="179"/>
      <c r="GE169" s="179"/>
      <c r="GF169" s="179"/>
      <c r="GG169" s="179"/>
      <c r="GH169" s="179"/>
      <c r="GI169" s="179"/>
      <c r="GJ169" s="179"/>
      <c r="GK169" s="179"/>
      <c r="GL169" s="179"/>
      <c r="GM169" s="179"/>
      <c r="GN169" s="179"/>
      <c r="GO169" s="179"/>
      <c r="GP169" s="179"/>
      <c r="GQ169" s="179"/>
      <c r="GR169" s="179"/>
      <c r="GS169" s="179"/>
      <c r="GT169" s="179"/>
      <c r="GU169" s="179"/>
      <c r="GV169" s="179"/>
      <c r="GW169" s="179"/>
      <c r="GX169" s="179"/>
      <c r="GY169" s="179"/>
      <c r="GZ169" s="179"/>
      <c r="HA169" s="179"/>
      <c r="HB169" s="179"/>
      <c r="HC169" s="179"/>
      <c r="HD169" s="179"/>
      <c r="HE169" s="179"/>
      <c r="HF169" s="179"/>
      <c r="HG169" s="179"/>
      <c r="HH169" s="179"/>
      <c r="HI169" s="179"/>
      <c r="HJ169" s="179"/>
      <c r="HK169" s="179"/>
      <c r="HL169" s="179"/>
      <c r="HM169" s="179"/>
      <c r="HN169" s="179"/>
      <c r="HO169" s="179"/>
      <c r="HP169" s="179"/>
      <c r="HQ169" s="179"/>
      <c r="HR169" s="179"/>
      <c r="HS169" s="179"/>
      <c r="HT169" s="179"/>
      <c r="HU169" s="179"/>
      <c r="HV169" s="179"/>
      <c r="HW169" s="179"/>
      <c r="HX169" s="179"/>
      <c r="HY169" s="179"/>
      <c r="HZ169" s="179"/>
      <c r="IA169" s="179"/>
      <c r="IB169" s="179"/>
      <c r="IC169" s="179"/>
      <c r="ID169" s="179"/>
      <c r="IE169" s="179"/>
      <c r="IF169" s="179"/>
      <c r="IG169" s="179"/>
      <c r="IH169" s="179"/>
      <c r="II169" s="179"/>
      <c r="IJ169" s="179"/>
      <c r="IK169" s="179"/>
      <c r="IL169" s="179"/>
      <c r="IM169" s="179"/>
      <c r="IN169" s="179"/>
      <c r="IO169" s="179"/>
      <c r="IP169" s="179"/>
      <c r="IQ169" s="179"/>
    </row>
    <row r="171" spans="1:251">
      <c r="A171" s="321" t="s">
        <v>519</v>
      </c>
      <c r="B171">
        <f>5.94*B144*12</f>
        <v>230658.516</v>
      </c>
    </row>
    <row r="172" spans="1:251">
      <c r="B172" s="276">
        <f>B153+B171</f>
        <v>803042.15859948681</v>
      </c>
    </row>
    <row r="173" spans="1:251">
      <c r="B173">
        <f>B172/B153</f>
        <v>1.4029788743655596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Q394"/>
  <sheetViews>
    <sheetView topLeftCell="A361" workbookViewId="0">
      <selection activeCell="A366" sqref="A366:B390"/>
    </sheetView>
  </sheetViews>
  <sheetFormatPr defaultRowHeight="15"/>
  <cols>
    <col min="1" max="1" width="86.7109375" customWidth="1"/>
    <col min="2" max="2" width="11.7109375" customWidth="1"/>
  </cols>
  <sheetData>
    <row r="1" spans="1:2" s="73" customFormat="1" ht="15.75">
      <c r="A1" s="701" t="s">
        <v>230</v>
      </c>
      <c r="B1" s="701"/>
    </row>
    <row r="2" spans="1:2" s="73" customFormat="1" ht="15.75">
      <c r="A2" s="702" t="s">
        <v>3039</v>
      </c>
      <c r="B2" s="702"/>
    </row>
    <row r="3" spans="1:2" s="86" customFormat="1" ht="15.75">
      <c r="A3" s="702" t="s">
        <v>3333</v>
      </c>
      <c r="B3" s="702"/>
    </row>
    <row r="4" spans="1:2" s="55" customFormat="1" ht="15.75">
      <c r="A4" s="636"/>
      <c r="B4" s="74"/>
    </row>
    <row r="5" spans="1:2" ht="46.5" customHeight="1">
      <c r="A5" s="633" t="s">
        <v>229</v>
      </c>
      <c r="B5" s="82" t="s">
        <v>523</v>
      </c>
    </row>
    <row r="6" spans="1:2">
      <c r="A6" s="224" t="s">
        <v>229</v>
      </c>
      <c r="B6" s="72"/>
    </row>
    <row r="7" spans="1:2">
      <c r="A7" s="191" t="s">
        <v>0</v>
      </c>
      <c r="B7" s="72"/>
    </row>
    <row r="8" spans="1:2">
      <c r="A8" s="635" t="s">
        <v>29</v>
      </c>
      <c r="B8" s="72"/>
    </row>
    <row r="9" spans="1:2">
      <c r="A9" s="191" t="s">
        <v>56</v>
      </c>
      <c r="B9" s="72"/>
    </row>
    <row r="10" spans="1:2">
      <c r="A10" s="635" t="s">
        <v>57</v>
      </c>
      <c r="B10" s="72"/>
    </row>
    <row r="11" spans="1:2" s="73" customFormat="1" ht="28.5">
      <c r="A11" s="450" t="s">
        <v>3334</v>
      </c>
      <c r="B11" s="72">
        <v>4</v>
      </c>
    </row>
    <row r="12" spans="1:2" s="73" customFormat="1" ht="28.5">
      <c r="A12" s="450" t="s">
        <v>3367</v>
      </c>
      <c r="B12" s="72">
        <v>2</v>
      </c>
    </row>
    <row r="13" spans="1:2" s="73" customFormat="1" ht="16.5" customHeight="1">
      <c r="A13" s="631" t="s">
        <v>3411</v>
      </c>
      <c r="B13" s="72">
        <v>1</v>
      </c>
    </row>
    <row r="14" spans="1:2" s="73" customFormat="1" ht="16.5" customHeight="1">
      <c r="A14" s="125" t="s">
        <v>3430</v>
      </c>
      <c r="B14" s="129">
        <v>1</v>
      </c>
    </row>
    <row r="15" spans="1:2" s="73" customFormat="1" ht="16.5" customHeight="1">
      <c r="A15" s="125" t="s">
        <v>3478</v>
      </c>
      <c r="B15" s="129">
        <v>1</v>
      </c>
    </row>
    <row r="16" spans="1:2" s="73" customFormat="1" ht="30" customHeight="1">
      <c r="A16" s="125" t="s">
        <v>3479</v>
      </c>
      <c r="B16" s="129">
        <v>1</v>
      </c>
    </row>
    <row r="17" spans="1:2" s="73" customFormat="1" ht="35.25" customHeight="1">
      <c r="A17" s="641" t="s">
        <v>3599</v>
      </c>
      <c r="B17" s="409">
        <v>4</v>
      </c>
    </row>
    <row r="18" spans="1:2" s="73" customFormat="1" ht="30" customHeight="1">
      <c r="A18" s="125" t="s">
        <v>3540</v>
      </c>
      <c r="B18" s="129">
        <v>4</v>
      </c>
    </row>
    <row r="19" spans="1:2" s="73" customFormat="1" ht="18.75" customHeight="1">
      <c r="A19" s="125" t="s">
        <v>3577</v>
      </c>
      <c r="B19" s="129">
        <v>4</v>
      </c>
    </row>
    <row r="20" spans="1:2" s="73" customFormat="1" ht="18.75" customHeight="1">
      <c r="A20" s="125" t="s">
        <v>3608</v>
      </c>
      <c r="B20" s="129">
        <v>2</v>
      </c>
    </row>
    <row r="21" spans="1:2" s="73" customFormat="1" ht="28.5" customHeight="1">
      <c r="A21" s="125" t="s">
        <v>3609</v>
      </c>
      <c r="B21" s="129">
        <v>4</v>
      </c>
    </row>
    <row r="22" spans="1:2" s="73" customFormat="1" ht="28.5" customHeight="1">
      <c r="A22" s="125" t="s">
        <v>3610</v>
      </c>
      <c r="B22" s="129">
        <v>3</v>
      </c>
    </row>
    <row r="23" spans="1:2" s="73" customFormat="1">
      <c r="A23" s="145" t="s">
        <v>3644</v>
      </c>
      <c r="B23" s="129">
        <v>16</v>
      </c>
    </row>
    <row r="24" spans="1:2" s="73" customFormat="1">
      <c r="A24" s="145" t="s">
        <v>3645</v>
      </c>
      <c r="B24" s="129">
        <v>2</v>
      </c>
    </row>
    <row r="25" spans="1:2" s="73" customFormat="1">
      <c r="A25" s="145" t="s">
        <v>3646</v>
      </c>
      <c r="B25" s="129">
        <v>4</v>
      </c>
    </row>
    <row r="26" spans="1:2" s="73" customFormat="1">
      <c r="A26" s="634" t="s">
        <v>66</v>
      </c>
      <c r="B26" s="72"/>
    </row>
    <row r="27" spans="1:2" s="73" customFormat="1" ht="15" customHeight="1">
      <c r="A27" s="138" t="s">
        <v>3336</v>
      </c>
      <c r="B27" s="72">
        <v>2</v>
      </c>
    </row>
    <row r="28" spans="1:2" s="73" customFormat="1" ht="15" customHeight="1">
      <c r="A28" s="639" t="s">
        <v>3385</v>
      </c>
      <c r="B28" s="72">
        <v>2</v>
      </c>
    </row>
    <row r="29" spans="1:2" s="73" customFormat="1" ht="15" customHeight="1">
      <c r="A29" s="639" t="s">
        <v>3386</v>
      </c>
      <c r="B29" s="72">
        <v>2</v>
      </c>
    </row>
    <row r="30" spans="1:2" s="73" customFormat="1" ht="15" customHeight="1">
      <c r="A30" s="639" t="s">
        <v>3519</v>
      </c>
      <c r="B30" s="72">
        <v>1</v>
      </c>
    </row>
    <row r="31" spans="1:2" s="73" customFormat="1" ht="15" customHeight="1">
      <c r="A31" s="639" t="s">
        <v>3520</v>
      </c>
      <c r="B31" s="72">
        <v>4</v>
      </c>
    </row>
    <row r="32" spans="1:2" s="73" customFormat="1" ht="15" customHeight="1">
      <c r="A32" s="639" t="s">
        <v>3431</v>
      </c>
      <c r="B32" s="72">
        <v>1</v>
      </c>
    </row>
    <row r="33" spans="1:2" s="73" customFormat="1" ht="30" customHeight="1">
      <c r="A33" s="525" t="s">
        <v>3541</v>
      </c>
      <c r="B33" s="72">
        <v>2</v>
      </c>
    </row>
    <row r="34" spans="1:2" s="73" customFormat="1" ht="19.5" customHeight="1">
      <c r="A34" s="525" t="s">
        <v>3542</v>
      </c>
      <c r="B34" s="72">
        <v>4</v>
      </c>
    </row>
    <row r="35" spans="1:2" s="73" customFormat="1" ht="19.5" customHeight="1">
      <c r="A35" s="525" t="s">
        <v>3543</v>
      </c>
      <c r="B35" s="72">
        <v>1</v>
      </c>
    </row>
    <row r="36" spans="1:2" s="73" customFormat="1" ht="19.5" customHeight="1">
      <c r="A36" s="525" t="s">
        <v>3580</v>
      </c>
      <c r="B36" s="72">
        <v>1</v>
      </c>
    </row>
    <row r="37" spans="1:2" s="73" customFormat="1" ht="19.5" customHeight="1">
      <c r="A37" s="525" t="s">
        <v>3581</v>
      </c>
      <c r="B37" s="72">
        <v>1</v>
      </c>
    </row>
    <row r="38" spans="1:2" s="73" customFormat="1" ht="19.5" customHeight="1">
      <c r="A38" s="525" t="s">
        <v>3579</v>
      </c>
      <c r="B38" s="72">
        <v>1</v>
      </c>
    </row>
    <row r="39" spans="1:2" s="73" customFormat="1" ht="33" customHeight="1">
      <c r="A39" s="525" t="s">
        <v>3578</v>
      </c>
      <c r="B39" s="72">
        <v>2</v>
      </c>
    </row>
    <row r="40" spans="1:2" s="73" customFormat="1" ht="24" customHeight="1">
      <c r="A40" s="644" t="s">
        <v>3588</v>
      </c>
      <c r="B40" s="72">
        <v>1</v>
      </c>
    </row>
    <row r="41" spans="1:2" s="73" customFormat="1" ht="18" customHeight="1">
      <c r="A41" s="644" t="s">
        <v>3627</v>
      </c>
      <c r="B41" s="72">
        <v>4</v>
      </c>
    </row>
    <row r="42" spans="1:2" s="73" customFormat="1" ht="15" customHeight="1">
      <c r="A42" s="639" t="s">
        <v>3647</v>
      </c>
      <c r="B42" s="72">
        <v>4</v>
      </c>
    </row>
    <row r="43" spans="1:2" s="73" customFormat="1" ht="14.25" customHeight="1">
      <c r="A43" s="635" t="s">
        <v>3335</v>
      </c>
      <c r="B43" s="72"/>
    </row>
    <row r="44" spans="1:2" s="73" customFormat="1">
      <c r="A44" s="400" t="s">
        <v>3337</v>
      </c>
      <c r="B44" s="72">
        <v>1</v>
      </c>
    </row>
    <row r="45" spans="1:2" s="73" customFormat="1">
      <c r="A45" s="400" t="s">
        <v>3338</v>
      </c>
      <c r="B45" s="72">
        <v>1</v>
      </c>
    </row>
    <row r="46" spans="1:2" s="73" customFormat="1">
      <c r="A46" s="400" t="s">
        <v>3339</v>
      </c>
      <c r="B46" s="72">
        <v>0.5</v>
      </c>
    </row>
    <row r="47" spans="1:2" s="73" customFormat="1">
      <c r="A47" s="400" t="s">
        <v>3341</v>
      </c>
      <c r="B47" s="72">
        <v>2</v>
      </c>
    </row>
    <row r="48" spans="1:2" s="73" customFormat="1">
      <c r="A48" s="400" t="s">
        <v>3342</v>
      </c>
      <c r="B48" s="72">
        <v>1</v>
      </c>
    </row>
    <row r="49" spans="1:2" s="73" customFormat="1">
      <c r="A49" s="400" t="s">
        <v>3343</v>
      </c>
      <c r="B49" s="72">
        <v>2</v>
      </c>
    </row>
    <row r="50" spans="1:2" s="73" customFormat="1">
      <c r="A50" s="400" t="s">
        <v>3340</v>
      </c>
      <c r="B50" s="72">
        <v>2</v>
      </c>
    </row>
    <row r="51" spans="1:2" s="73" customFormat="1">
      <c r="A51" s="400" t="s">
        <v>3344</v>
      </c>
      <c r="B51" s="72">
        <v>4</v>
      </c>
    </row>
    <row r="52" spans="1:2" s="73" customFormat="1" ht="28.5">
      <c r="A52" s="621" t="s">
        <v>3045</v>
      </c>
      <c r="B52" s="72">
        <v>2</v>
      </c>
    </row>
    <row r="53" spans="1:2" s="73" customFormat="1">
      <c r="A53" s="631" t="s">
        <v>3345</v>
      </c>
      <c r="B53" s="72">
        <v>4</v>
      </c>
    </row>
    <row r="54" spans="1:2" s="73" customFormat="1" ht="28.5">
      <c r="A54" s="631" t="s">
        <v>3346</v>
      </c>
      <c r="B54" s="72">
        <v>2</v>
      </c>
    </row>
    <row r="55" spans="1:2" s="73" customFormat="1" ht="28.5">
      <c r="A55" s="631" t="s">
        <v>3349</v>
      </c>
      <c r="B55" s="72">
        <v>1</v>
      </c>
    </row>
    <row r="56" spans="1:2" s="73" customFormat="1" ht="28.5">
      <c r="A56" s="631" t="s">
        <v>3347</v>
      </c>
      <c r="B56" s="72">
        <v>1</v>
      </c>
    </row>
    <row r="57" spans="1:2" s="73" customFormat="1">
      <c r="A57" s="631" t="s">
        <v>3348</v>
      </c>
      <c r="B57" s="72">
        <v>1</v>
      </c>
    </row>
    <row r="58" spans="1:2" s="73" customFormat="1">
      <c r="A58" s="631" t="s">
        <v>3350</v>
      </c>
      <c r="B58" s="72">
        <v>1</v>
      </c>
    </row>
    <row r="59" spans="1:2" s="73" customFormat="1" ht="21" customHeight="1">
      <c r="A59" s="631" t="s">
        <v>3351</v>
      </c>
      <c r="B59" s="72">
        <v>1</v>
      </c>
    </row>
    <row r="60" spans="1:2" s="73" customFormat="1" ht="30" customHeight="1">
      <c r="A60" s="631" t="s">
        <v>3352</v>
      </c>
      <c r="B60" s="72">
        <v>4</v>
      </c>
    </row>
    <row r="61" spans="1:2" s="73" customFormat="1" ht="21" customHeight="1">
      <c r="A61" s="631" t="s">
        <v>3353</v>
      </c>
      <c r="B61" s="72">
        <v>1</v>
      </c>
    </row>
    <row r="62" spans="1:2" s="73" customFormat="1" ht="30" customHeight="1">
      <c r="A62" s="631" t="s">
        <v>3354</v>
      </c>
      <c r="B62" s="72">
        <v>1</v>
      </c>
    </row>
    <row r="63" spans="1:2" s="73" customFormat="1" ht="20.25" customHeight="1">
      <c r="A63" s="631" t="s">
        <v>3368</v>
      </c>
      <c r="B63" s="72">
        <v>8</v>
      </c>
    </row>
    <row r="64" spans="1:2" s="73" customFormat="1" ht="20.25" customHeight="1">
      <c r="A64" s="631" t="s">
        <v>3369</v>
      </c>
      <c r="B64" s="72">
        <v>2</v>
      </c>
    </row>
    <row r="65" spans="1:2" s="73" customFormat="1" ht="20.25" customHeight="1">
      <c r="A65" s="631" t="s">
        <v>3370</v>
      </c>
      <c r="B65" s="72">
        <v>2</v>
      </c>
    </row>
    <row r="66" spans="1:2" s="73" customFormat="1" ht="20.25" customHeight="1">
      <c r="A66" s="631" t="s">
        <v>3371</v>
      </c>
      <c r="B66" s="72">
        <v>4</v>
      </c>
    </row>
    <row r="67" spans="1:2" s="73" customFormat="1" ht="20.25" customHeight="1">
      <c r="A67" s="631" t="s">
        <v>3372</v>
      </c>
      <c r="B67" s="72">
        <v>2</v>
      </c>
    </row>
    <row r="68" spans="1:2" s="73" customFormat="1" ht="20.25" customHeight="1">
      <c r="A68" s="631" t="s">
        <v>3373</v>
      </c>
      <c r="B68" s="72">
        <v>2</v>
      </c>
    </row>
    <row r="69" spans="1:2" s="73" customFormat="1" ht="20.25" customHeight="1">
      <c r="A69" s="631" t="s">
        <v>3374</v>
      </c>
      <c r="B69" s="72">
        <v>3</v>
      </c>
    </row>
    <row r="70" spans="1:2" s="73" customFormat="1" ht="29.25" customHeight="1">
      <c r="A70" s="631" t="s">
        <v>3387</v>
      </c>
      <c r="B70" s="72">
        <v>0.5</v>
      </c>
    </row>
    <row r="71" spans="1:2" s="73" customFormat="1" ht="29.25" customHeight="1">
      <c r="A71" s="638" t="s">
        <v>3517</v>
      </c>
      <c r="B71" s="72">
        <v>1</v>
      </c>
    </row>
    <row r="72" spans="1:2" s="73" customFormat="1" ht="16.5" customHeight="1">
      <c r="A72" s="638" t="s">
        <v>3518</v>
      </c>
      <c r="B72" s="72">
        <v>1</v>
      </c>
    </row>
    <row r="73" spans="1:2" s="73" customFormat="1" ht="15" customHeight="1">
      <c r="A73" s="631" t="s">
        <v>3388</v>
      </c>
      <c r="B73" s="72">
        <v>4</v>
      </c>
    </row>
    <row r="74" spans="1:2" s="73" customFormat="1" ht="15" customHeight="1">
      <c r="A74" s="631" t="s">
        <v>3389</v>
      </c>
      <c r="B74" s="72">
        <v>0.5</v>
      </c>
    </row>
    <row r="75" spans="1:2" s="73" customFormat="1" ht="30.75" customHeight="1">
      <c r="A75" s="631" t="s">
        <v>3392</v>
      </c>
      <c r="B75" s="72">
        <v>2</v>
      </c>
    </row>
    <row r="76" spans="1:2" s="73" customFormat="1" ht="15" customHeight="1">
      <c r="A76" s="631" t="s">
        <v>3391</v>
      </c>
      <c r="B76" s="72">
        <v>2</v>
      </c>
    </row>
    <row r="77" spans="1:2" s="73" customFormat="1" ht="15" customHeight="1">
      <c r="A77" s="631" t="s">
        <v>3393</v>
      </c>
      <c r="B77" s="72">
        <v>1</v>
      </c>
    </row>
    <row r="78" spans="1:2" s="73" customFormat="1" ht="15" customHeight="1">
      <c r="A78" s="631" t="s">
        <v>3394</v>
      </c>
      <c r="B78" s="72">
        <v>2</v>
      </c>
    </row>
    <row r="79" spans="1:2" s="73" customFormat="1" ht="15" customHeight="1">
      <c r="A79" s="631" t="s">
        <v>3396</v>
      </c>
      <c r="B79" s="72">
        <v>1</v>
      </c>
    </row>
    <row r="80" spans="1:2" s="73" customFormat="1" ht="31.5" customHeight="1">
      <c r="A80" s="631" t="s">
        <v>3395</v>
      </c>
      <c r="B80" s="72">
        <v>2</v>
      </c>
    </row>
    <row r="81" spans="1:2" s="73" customFormat="1" ht="18.75" customHeight="1">
      <c r="A81" s="631" t="s">
        <v>3397</v>
      </c>
      <c r="B81" s="72">
        <v>1</v>
      </c>
    </row>
    <row r="82" spans="1:2" s="73" customFormat="1" ht="28.5">
      <c r="A82" s="400" t="s">
        <v>2794</v>
      </c>
      <c r="B82" s="72">
        <v>1</v>
      </c>
    </row>
    <row r="83" spans="1:2" s="73" customFormat="1" ht="28.5" customHeight="1">
      <c r="A83" s="631" t="s">
        <v>3410</v>
      </c>
      <c r="B83" s="72">
        <v>1</v>
      </c>
    </row>
    <row r="84" spans="1:2" s="73" customFormat="1" ht="17.25" customHeight="1">
      <c r="A84" s="631" t="s">
        <v>3412</v>
      </c>
      <c r="B84" s="72">
        <v>0.5</v>
      </c>
    </row>
    <row r="85" spans="1:2" s="73" customFormat="1" ht="17.25" customHeight="1">
      <c r="A85" s="631" t="s">
        <v>3413</v>
      </c>
      <c r="B85" s="72">
        <v>1</v>
      </c>
    </row>
    <row r="86" spans="1:2" s="73" customFormat="1" ht="33.75" customHeight="1">
      <c r="A86" s="631" t="s">
        <v>3414</v>
      </c>
      <c r="B86" s="72">
        <v>2</v>
      </c>
    </row>
    <row r="87" spans="1:2" s="73" customFormat="1" ht="14.25" customHeight="1">
      <c r="A87" s="631" t="s">
        <v>3415</v>
      </c>
      <c r="B87" s="72">
        <v>1</v>
      </c>
    </row>
    <row r="88" spans="1:2" s="73" customFormat="1" ht="14.25" customHeight="1">
      <c r="A88" s="631" t="s">
        <v>3416</v>
      </c>
      <c r="B88" s="72">
        <v>1</v>
      </c>
    </row>
    <row r="89" spans="1:2" s="73" customFormat="1" ht="30" customHeight="1">
      <c r="A89" s="631" t="s">
        <v>3417</v>
      </c>
      <c r="B89" s="72">
        <v>2</v>
      </c>
    </row>
    <row r="90" spans="1:2" s="73" customFormat="1" ht="17.25" customHeight="1">
      <c r="A90" s="631" t="s">
        <v>3418</v>
      </c>
      <c r="B90" s="72">
        <v>1</v>
      </c>
    </row>
    <row r="91" spans="1:2" s="73" customFormat="1" ht="28.5">
      <c r="A91" s="400" t="s">
        <v>2102</v>
      </c>
      <c r="B91" s="72">
        <v>1</v>
      </c>
    </row>
    <row r="92" spans="1:2" s="73" customFormat="1" ht="17.25" customHeight="1">
      <c r="A92" s="631" t="s">
        <v>3419</v>
      </c>
      <c r="B92" s="72">
        <v>3</v>
      </c>
    </row>
    <row r="93" spans="1:2" s="73" customFormat="1" ht="31.5" customHeight="1">
      <c r="A93" s="631" t="s">
        <v>3432</v>
      </c>
      <c r="B93" s="72">
        <v>1</v>
      </c>
    </row>
    <row r="94" spans="1:2" s="73" customFormat="1" ht="18.75" customHeight="1">
      <c r="A94" s="631" t="s">
        <v>3436</v>
      </c>
      <c r="B94" s="72">
        <v>1</v>
      </c>
    </row>
    <row r="95" spans="1:2" s="73" customFormat="1" ht="18.75" customHeight="1">
      <c r="A95" s="631" t="s">
        <v>3433</v>
      </c>
      <c r="B95" s="72">
        <v>1</v>
      </c>
    </row>
    <row r="96" spans="1:2" s="73" customFormat="1">
      <c r="A96" s="400" t="s">
        <v>3434</v>
      </c>
      <c r="B96" s="72">
        <v>0.5</v>
      </c>
    </row>
    <row r="97" spans="1:2" s="73" customFormat="1">
      <c r="A97" s="400" t="s">
        <v>3435</v>
      </c>
      <c r="B97" s="72">
        <v>1</v>
      </c>
    </row>
    <row r="98" spans="1:2" s="73" customFormat="1" ht="28.5">
      <c r="A98" s="400" t="s">
        <v>3437</v>
      </c>
      <c r="B98" s="72">
        <v>1</v>
      </c>
    </row>
    <row r="99" spans="1:2" s="73" customFormat="1">
      <c r="A99" s="400" t="s">
        <v>3438</v>
      </c>
      <c r="B99" s="72">
        <v>1</v>
      </c>
    </row>
    <row r="100" spans="1:2" s="73" customFormat="1" ht="28.5">
      <c r="A100" s="400" t="s">
        <v>3439</v>
      </c>
      <c r="B100" s="72">
        <v>6</v>
      </c>
    </row>
    <row r="101" spans="1:2" s="73" customFormat="1">
      <c r="A101" s="400" t="s">
        <v>3440</v>
      </c>
      <c r="B101" s="72">
        <v>2</v>
      </c>
    </row>
    <row r="102" spans="1:2" s="73" customFormat="1">
      <c r="A102" s="400" t="s">
        <v>3441</v>
      </c>
      <c r="B102" s="72">
        <v>2</v>
      </c>
    </row>
    <row r="103" spans="1:2" s="73" customFormat="1">
      <c r="A103" s="400" t="s">
        <v>3442</v>
      </c>
      <c r="B103" s="72">
        <v>1.5</v>
      </c>
    </row>
    <row r="104" spans="1:2" s="73" customFormat="1">
      <c r="A104" s="400" t="s">
        <v>3456</v>
      </c>
      <c r="B104" s="72">
        <v>2</v>
      </c>
    </row>
    <row r="105" spans="1:2" s="73" customFormat="1" ht="28.5">
      <c r="A105" s="400" t="s">
        <v>3457</v>
      </c>
      <c r="B105" s="72">
        <v>1</v>
      </c>
    </row>
    <row r="106" spans="1:2" s="73" customFormat="1">
      <c r="A106" s="400" t="s">
        <v>3458</v>
      </c>
      <c r="B106" s="72">
        <v>0.5</v>
      </c>
    </row>
    <row r="107" spans="1:2" s="73" customFormat="1" ht="28.5">
      <c r="A107" s="400" t="s">
        <v>3459</v>
      </c>
      <c r="B107" s="72">
        <v>4</v>
      </c>
    </row>
    <row r="108" spans="1:2" s="73" customFormat="1" ht="28.5">
      <c r="A108" s="400" t="s">
        <v>3460</v>
      </c>
      <c r="B108" s="72">
        <v>1</v>
      </c>
    </row>
    <row r="109" spans="1:2" s="73" customFormat="1" ht="28.5">
      <c r="A109" s="400" t="s">
        <v>3461</v>
      </c>
      <c r="B109" s="72">
        <v>2</v>
      </c>
    </row>
    <row r="110" spans="1:2" s="73" customFormat="1" ht="28.5">
      <c r="A110" s="400" t="s">
        <v>3462</v>
      </c>
      <c r="B110" s="72">
        <v>1</v>
      </c>
    </row>
    <row r="111" spans="1:2" s="73" customFormat="1" ht="28.5">
      <c r="A111" s="400" t="s">
        <v>3463</v>
      </c>
      <c r="B111" s="72">
        <v>2</v>
      </c>
    </row>
    <row r="112" spans="1:2" s="73" customFormat="1">
      <c r="A112" s="400" t="s">
        <v>3480</v>
      </c>
      <c r="B112" s="72">
        <v>4</v>
      </c>
    </row>
    <row r="113" spans="1:2" s="73" customFormat="1">
      <c r="A113" s="400" t="s">
        <v>3481</v>
      </c>
      <c r="B113" s="72">
        <v>2</v>
      </c>
    </row>
    <row r="114" spans="1:2" s="73" customFormat="1" ht="33.75" customHeight="1">
      <c r="A114" s="550" t="s">
        <v>2156</v>
      </c>
      <c r="B114" s="72">
        <v>1</v>
      </c>
    </row>
    <row r="115" spans="1:2" s="73" customFormat="1" ht="20.25" customHeight="1">
      <c r="A115" s="631" t="s">
        <v>3482</v>
      </c>
      <c r="B115" s="72">
        <v>1</v>
      </c>
    </row>
    <row r="116" spans="1:2" s="73" customFormat="1" ht="20.25" customHeight="1">
      <c r="A116" s="631" t="s">
        <v>3483</v>
      </c>
      <c r="B116" s="72">
        <v>4</v>
      </c>
    </row>
    <row r="117" spans="1:2" s="73" customFormat="1" ht="20.25" customHeight="1">
      <c r="A117" s="631" t="s">
        <v>3484</v>
      </c>
      <c r="B117" s="72">
        <v>2</v>
      </c>
    </row>
    <row r="118" spans="1:2" s="73" customFormat="1" ht="31.5" customHeight="1">
      <c r="A118" s="631" t="s">
        <v>3485</v>
      </c>
      <c r="B118" s="72">
        <v>2</v>
      </c>
    </row>
    <row r="119" spans="1:2" s="73" customFormat="1" ht="31.5" customHeight="1">
      <c r="A119" s="631" t="s">
        <v>3486</v>
      </c>
      <c r="B119" s="72">
        <v>1</v>
      </c>
    </row>
    <row r="120" spans="1:2" s="73" customFormat="1" ht="31.5" customHeight="1">
      <c r="A120" s="631" t="s">
        <v>3487</v>
      </c>
      <c r="B120" s="72">
        <v>2</v>
      </c>
    </row>
    <row r="121" spans="1:2" s="73" customFormat="1" ht="31.5" customHeight="1">
      <c r="A121" s="631" t="s">
        <v>3488</v>
      </c>
      <c r="B121" s="72">
        <v>2</v>
      </c>
    </row>
    <row r="122" spans="1:2" s="73" customFormat="1" ht="20.25" customHeight="1">
      <c r="A122" s="631" t="s">
        <v>3489</v>
      </c>
      <c r="B122" s="72">
        <v>4</v>
      </c>
    </row>
    <row r="123" spans="1:2" s="73" customFormat="1" ht="27" customHeight="1">
      <c r="A123" s="631" t="s">
        <v>3491</v>
      </c>
      <c r="B123" s="72">
        <v>1.5</v>
      </c>
    </row>
    <row r="124" spans="1:2" s="73" customFormat="1" ht="20.25" customHeight="1">
      <c r="A124" s="631" t="s">
        <v>3490</v>
      </c>
      <c r="B124" s="72">
        <v>2</v>
      </c>
    </row>
    <row r="125" spans="1:2" s="73" customFormat="1" ht="20.25" customHeight="1">
      <c r="A125" s="631" t="s">
        <v>3492</v>
      </c>
      <c r="B125" s="72">
        <v>1</v>
      </c>
    </row>
    <row r="126" spans="1:2" s="73" customFormat="1" ht="28.5" customHeight="1">
      <c r="A126" s="631" t="s">
        <v>3493</v>
      </c>
      <c r="B126" s="72">
        <v>0.5</v>
      </c>
    </row>
    <row r="127" spans="1:2" s="73" customFormat="1" ht="28.5" customHeight="1">
      <c r="A127" s="631" t="s">
        <v>3494</v>
      </c>
      <c r="B127" s="72">
        <v>2</v>
      </c>
    </row>
    <row r="128" spans="1:2" s="73" customFormat="1" ht="28.5" customHeight="1">
      <c r="A128" s="631" t="s">
        <v>3495</v>
      </c>
      <c r="B128" s="72">
        <v>1</v>
      </c>
    </row>
    <row r="129" spans="1:2" s="73" customFormat="1" ht="28.5" customHeight="1">
      <c r="A129" s="631" t="s">
        <v>3496</v>
      </c>
      <c r="B129" s="72">
        <v>0.5</v>
      </c>
    </row>
    <row r="130" spans="1:2" s="73" customFormat="1" ht="17.25" customHeight="1">
      <c r="A130" s="631" t="s">
        <v>3497</v>
      </c>
      <c r="B130" s="72">
        <v>2</v>
      </c>
    </row>
    <row r="131" spans="1:2" s="73" customFormat="1" ht="32.25" customHeight="1">
      <c r="A131" s="638" t="s">
        <v>3512</v>
      </c>
      <c r="B131" s="72">
        <v>1</v>
      </c>
    </row>
    <row r="132" spans="1:2" s="73" customFormat="1" ht="32.25" customHeight="1">
      <c r="A132" s="638" t="s">
        <v>3513</v>
      </c>
      <c r="B132" s="72">
        <v>0.5</v>
      </c>
    </row>
    <row r="133" spans="1:2" s="73" customFormat="1" ht="32.25" customHeight="1">
      <c r="A133" s="638" t="s">
        <v>3515</v>
      </c>
      <c r="B133" s="72">
        <v>0.5</v>
      </c>
    </row>
    <row r="134" spans="1:2" s="73" customFormat="1" ht="21.75" customHeight="1">
      <c r="A134" s="638" t="s">
        <v>3514</v>
      </c>
      <c r="B134" s="72">
        <v>1.5</v>
      </c>
    </row>
    <row r="135" spans="1:2" s="73" customFormat="1" ht="30.75" customHeight="1">
      <c r="A135" s="638" t="s">
        <v>3516</v>
      </c>
      <c r="B135" s="72">
        <v>0.5</v>
      </c>
    </row>
    <row r="136" spans="1:2" s="73" customFormat="1" ht="30.75" customHeight="1">
      <c r="A136" s="638" t="s">
        <v>3521</v>
      </c>
      <c r="B136" s="72">
        <v>2</v>
      </c>
    </row>
    <row r="137" spans="1:2" s="73" customFormat="1" ht="30.75" customHeight="1">
      <c r="A137" s="638" t="s">
        <v>3522</v>
      </c>
      <c r="B137" s="72">
        <v>3</v>
      </c>
    </row>
    <row r="138" spans="1:2" s="73" customFormat="1" ht="16.5" customHeight="1">
      <c r="A138" s="638" t="s">
        <v>3523</v>
      </c>
      <c r="B138" s="72">
        <v>2</v>
      </c>
    </row>
    <row r="139" spans="1:2" s="73" customFormat="1" ht="28.5" customHeight="1">
      <c r="A139" s="638" t="s">
        <v>3525</v>
      </c>
      <c r="B139" s="72">
        <v>4</v>
      </c>
    </row>
    <row r="140" spans="1:2" s="73" customFormat="1" ht="16.5" customHeight="1">
      <c r="A140" s="638" t="s">
        <v>3524</v>
      </c>
      <c r="B140" s="72">
        <v>2</v>
      </c>
    </row>
    <row r="141" spans="1:2" s="73" customFormat="1" ht="16.5" customHeight="1">
      <c r="A141" s="638" t="s">
        <v>3526</v>
      </c>
      <c r="B141" s="72">
        <v>1</v>
      </c>
    </row>
    <row r="142" spans="1:2" s="73" customFormat="1" ht="16.5" customHeight="1">
      <c r="A142" s="638" t="s">
        <v>3527</v>
      </c>
      <c r="B142" s="72">
        <v>2</v>
      </c>
    </row>
    <row r="143" spans="1:2" s="73" customFormat="1" ht="16.5" customHeight="1">
      <c r="A143" s="638" t="s">
        <v>3528</v>
      </c>
      <c r="B143" s="72">
        <v>1</v>
      </c>
    </row>
    <row r="144" spans="1:2" s="73" customFormat="1" ht="16.5" customHeight="1">
      <c r="A144" s="638" t="s">
        <v>3529</v>
      </c>
      <c r="B144" s="72">
        <v>2</v>
      </c>
    </row>
    <row r="145" spans="1:2" s="73" customFormat="1" ht="16.5" customHeight="1">
      <c r="A145" s="638" t="s">
        <v>3530</v>
      </c>
      <c r="B145" s="72">
        <v>2</v>
      </c>
    </row>
    <row r="146" spans="1:2" s="73" customFormat="1" ht="27.75" customHeight="1">
      <c r="A146" s="638" t="s">
        <v>3531</v>
      </c>
      <c r="B146" s="72">
        <v>2</v>
      </c>
    </row>
    <row r="147" spans="1:2" s="73" customFormat="1" ht="16.5" customHeight="1">
      <c r="A147" s="638" t="s">
        <v>3544</v>
      </c>
      <c r="B147" s="72">
        <v>2</v>
      </c>
    </row>
    <row r="148" spans="1:2" s="73" customFormat="1" ht="16.5" customHeight="1">
      <c r="A148" s="638" t="s">
        <v>3545</v>
      </c>
      <c r="B148" s="72">
        <v>1</v>
      </c>
    </row>
    <row r="149" spans="1:2" s="73" customFormat="1" ht="16.5" customHeight="1">
      <c r="A149" s="638" t="s">
        <v>3546</v>
      </c>
      <c r="B149" s="72">
        <v>2</v>
      </c>
    </row>
    <row r="150" spans="1:2" s="73" customFormat="1" ht="16.5" customHeight="1">
      <c r="A150" s="638" t="s">
        <v>3547</v>
      </c>
      <c r="B150" s="72">
        <v>2</v>
      </c>
    </row>
    <row r="151" spans="1:2" s="73" customFormat="1" ht="33.75" customHeight="1">
      <c r="A151" s="644" t="s">
        <v>3612</v>
      </c>
      <c r="B151" s="72">
        <v>6</v>
      </c>
    </row>
    <row r="152" spans="1:2" s="73" customFormat="1" ht="16.5" customHeight="1">
      <c r="A152" s="638" t="s">
        <v>3548</v>
      </c>
      <c r="B152" s="72">
        <v>1</v>
      </c>
    </row>
    <row r="153" spans="1:2" s="73" customFormat="1" ht="16.5" customHeight="1">
      <c r="A153" s="638" t="s">
        <v>3550</v>
      </c>
      <c r="B153" s="72">
        <v>1</v>
      </c>
    </row>
    <row r="154" spans="1:2" s="73" customFormat="1" ht="33.75" customHeight="1">
      <c r="A154" s="638" t="s">
        <v>3549</v>
      </c>
      <c r="B154" s="72">
        <v>2</v>
      </c>
    </row>
    <row r="155" spans="1:2" s="73" customFormat="1" ht="21" customHeight="1">
      <c r="A155" s="638" t="s">
        <v>3551</v>
      </c>
      <c r="B155" s="72">
        <v>1</v>
      </c>
    </row>
    <row r="156" spans="1:2" s="73" customFormat="1" ht="21" customHeight="1">
      <c r="A156" s="638" t="s">
        <v>3552</v>
      </c>
      <c r="B156" s="72">
        <v>3</v>
      </c>
    </row>
    <row r="157" spans="1:2" s="73" customFormat="1" ht="27" customHeight="1">
      <c r="A157" s="638" t="s">
        <v>3553</v>
      </c>
      <c r="B157" s="72">
        <v>1</v>
      </c>
    </row>
    <row r="158" spans="1:2" s="73" customFormat="1" ht="29.25" customHeight="1">
      <c r="A158" s="638" t="s">
        <v>3554</v>
      </c>
      <c r="B158" s="72">
        <v>2</v>
      </c>
    </row>
    <row r="159" spans="1:2" s="73" customFormat="1" ht="18.75" customHeight="1">
      <c r="A159" s="638" t="s">
        <v>3555</v>
      </c>
      <c r="B159" s="72">
        <v>2</v>
      </c>
    </row>
    <row r="160" spans="1:2" s="73" customFormat="1" ht="29.25" customHeight="1">
      <c r="A160" s="638" t="s">
        <v>3556</v>
      </c>
      <c r="B160" s="72">
        <v>6</v>
      </c>
    </row>
    <row r="161" spans="1:2" s="73" customFormat="1" ht="16.5" customHeight="1">
      <c r="A161" s="638" t="s">
        <v>3557</v>
      </c>
      <c r="B161" s="72">
        <v>6</v>
      </c>
    </row>
    <row r="162" spans="1:2" s="73" customFormat="1" ht="30.75" customHeight="1">
      <c r="A162" s="644" t="s">
        <v>3593</v>
      </c>
      <c r="B162" s="72">
        <v>1</v>
      </c>
    </row>
    <row r="163" spans="1:2" s="73" customFormat="1" ht="16.5" customHeight="1">
      <c r="A163" s="638" t="s">
        <v>3558</v>
      </c>
      <c r="B163" s="72">
        <v>0.5</v>
      </c>
    </row>
    <row r="164" spans="1:2" s="73" customFormat="1" ht="30" customHeight="1">
      <c r="A164" s="638" t="s">
        <v>3559</v>
      </c>
      <c r="B164" s="72">
        <v>6</v>
      </c>
    </row>
    <row r="165" spans="1:2" s="73" customFormat="1" ht="15" customHeight="1">
      <c r="A165" s="638" t="s">
        <v>3582</v>
      </c>
      <c r="B165" s="72">
        <v>2</v>
      </c>
    </row>
    <row r="166" spans="1:2" s="73" customFormat="1" ht="15" customHeight="1">
      <c r="A166" s="644" t="s">
        <v>3584</v>
      </c>
      <c r="B166" s="72">
        <v>2</v>
      </c>
    </row>
    <row r="167" spans="1:2" s="73" customFormat="1" ht="15" customHeight="1">
      <c r="A167" s="638" t="s">
        <v>3583</v>
      </c>
      <c r="B167" s="72">
        <v>2</v>
      </c>
    </row>
    <row r="168" spans="1:2" s="73" customFormat="1" ht="15" customHeight="1">
      <c r="A168" s="644" t="s">
        <v>3585</v>
      </c>
      <c r="B168" s="72">
        <v>6</v>
      </c>
    </row>
    <row r="169" spans="1:2" s="73" customFormat="1" ht="33" customHeight="1">
      <c r="A169" s="644" t="s">
        <v>3586</v>
      </c>
      <c r="B169" s="72">
        <v>4</v>
      </c>
    </row>
    <row r="170" spans="1:2" s="73" customFormat="1" ht="33" customHeight="1">
      <c r="A170" s="644" t="s">
        <v>3587</v>
      </c>
      <c r="B170" s="72">
        <v>2</v>
      </c>
    </row>
    <row r="171" spans="1:2" s="73" customFormat="1" ht="19.5" customHeight="1">
      <c r="A171" s="644" t="s">
        <v>3589</v>
      </c>
      <c r="B171" s="72">
        <v>1</v>
      </c>
    </row>
    <row r="172" spans="1:2" s="73" customFormat="1" ht="19.5" customHeight="1">
      <c r="A172" s="644" t="s">
        <v>3590</v>
      </c>
      <c r="B172" s="72">
        <v>4</v>
      </c>
    </row>
    <row r="173" spans="1:2" s="73" customFormat="1" ht="30" customHeight="1">
      <c r="A173" s="644" t="s">
        <v>3591</v>
      </c>
      <c r="B173" s="72">
        <v>2</v>
      </c>
    </row>
    <row r="174" spans="1:2" s="73" customFormat="1" ht="30" customHeight="1">
      <c r="A174" s="644" t="s">
        <v>3592</v>
      </c>
      <c r="B174" s="72">
        <v>4</v>
      </c>
    </row>
    <row r="175" spans="1:2" s="73" customFormat="1" ht="30" customHeight="1">
      <c r="A175" s="644" t="s">
        <v>3594</v>
      </c>
      <c r="B175" s="72">
        <v>4</v>
      </c>
    </row>
    <row r="176" spans="1:2" s="73" customFormat="1" ht="30" customHeight="1">
      <c r="A176" s="644" t="s">
        <v>3595</v>
      </c>
      <c r="B176" s="72">
        <v>2</v>
      </c>
    </row>
    <row r="177" spans="1:2" s="73" customFormat="1" ht="30" customHeight="1">
      <c r="A177" s="644" t="s">
        <v>3596</v>
      </c>
      <c r="B177" s="72">
        <v>1</v>
      </c>
    </row>
    <row r="178" spans="1:2" s="73" customFormat="1" ht="18" customHeight="1">
      <c r="A178" s="644" t="s">
        <v>3597</v>
      </c>
      <c r="B178" s="72">
        <v>4</v>
      </c>
    </row>
    <row r="179" spans="1:2" s="73" customFormat="1" ht="27.75" customHeight="1">
      <c r="A179" s="644" t="s">
        <v>3611</v>
      </c>
      <c r="B179" s="72">
        <v>6</v>
      </c>
    </row>
    <row r="180" spans="1:2" s="73" customFormat="1" ht="27.75" customHeight="1">
      <c r="A180" s="644" t="s">
        <v>3615</v>
      </c>
      <c r="B180" s="72">
        <v>2</v>
      </c>
    </row>
    <row r="181" spans="1:2" s="73" customFormat="1" ht="27.75" customHeight="1">
      <c r="A181" s="644" t="s">
        <v>3614</v>
      </c>
      <c r="B181" s="72">
        <v>4</v>
      </c>
    </row>
    <row r="182" spans="1:2" s="73" customFormat="1" ht="27.75" customHeight="1">
      <c r="A182" s="644" t="s">
        <v>3613</v>
      </c>
      <c r="B182" s="72">
        <v>1</v>
      </c>
    </row>
    <row r="183" spans="1:2" s="73" customFormat="1" ht="27.75" customHeight="1">
      <c r="A183" s="644" t="s">
        <v>3616</v>
      </c>
      <c r="B183" s="72">
        <v>5</v>
      </c>
    </row>
    <row r="184" spans="1:2" s="73" customFormat="1" ht="27.75" customHeight="1">
      <c r="A184" s="644" t="s">
        <v>3617</v>
      </c>
      <c r="B184" s="72">
        <v>4</v>
      </c>
    </row>
    <row r="185" spans="1:2" s="73" customFormat="1" ht="19.5" customHeight="1">
      <c r="A185" s="644" t="s">
        <v>3618</v>
      </c>
      <c r="B185" s="72">
        <v>4</v>
      </c>
    </row>
    <row r="186" spans="1:2" s="73" customFormat="1" ht="19.5" customHeight="1">
      <c r="A186" s="644" t="s">
        <v>3619</v>
      </c>
      <c r="B186" s="72">
        <v>2</v>
      </c>
    </row>
    <row r="187" spans="1:2" s="73" customFormat="1" ht="19.5" customHeight="1">
      <c r="A187" s="644" t="s">
        <v>3620</v>
      </c>
      <c r="B187" s="72">
        <v>1</v>
      </c>
    </row>
    <row r="188" spans="1:2" s="73" customFormat="1" ht="41.25" customHeight="1">
      <c r="A188" s="644" t="s">
        <v>3621</v>
      </c>
      <c r="B188" s="72">
        <v>4</v>
      </c>
    </row>
    <row r="189" spans="1:2" s="73" customFormat="1" ht="30.75" customHeight="1">
      <c r="A189" s="644" t="s">
        <v>3622</v>
      </c>
      <c r="B189" s="72">
        <v>4</v>
      </c>
    </row>
    <row r="190" spans="1:2" s="73" customFormat="1" ht="18" customHeight="1">
      <c r="A190" s="644" t="s">
        <v>3623</v>
      </c>
      <c r="B190" s="72">
        <v>1</v>
      </c>
    </row>
    <row r="191" spans="1:2" s="73" customFormat="1" ht="18" customHeight="1">
      <c r="A191" s="644" t="s">
        <v>3624</v>
      </c>
      <c r="B191" s="72">
        <v>1</v>
      </c>
    </row>
    <row r="192" spans="1:2" s="73" customFormat="1" ht="18" customHeight="1">
      <c r="A192" s="644" t="s">
        <v>3625</v>
      </c>
      <c r="B192" s="72">
        <v>4</v>
      </c>
    </row>
    <row r="193" spans="1:3" s="73" customFormat="1" ht="18" customHeight="1">
      <c r="A193" s="644" t="s">
        <v>3626</v>
      </c>
      <c r="B193" s="72">
        <v>2</v>
      </c>
    </row>
    <row r="194" spans="1:3" s="73" customFormat="1">
      <c r="A194" s="550" t="s">
        <v>2243</v>
      </c>
      <c r="B194" s="72"/>
    </row>
    <row r="195" spans="1:3" s="73" customFormat="1" ht="28.5">
      <c r="A195" s="644" t="s">
        <v>3628</v>
      </c>
      <c r="B195" s="72">
        <v>1</v>
      </c>
    </row>
    <row r="196" spans="1:3" s="73" customFormat="1">
      <c r="A196" s="400" t="s">
        <v>3629</v>
      </c>
      <c r="B196" s="72">
        <v>2</v>
      </c>
      <c r="C196" s="73">
        <v>0.5</v>
      </c>
    </row>
    <row r="197" spans="1:3" s="73" customFormat="1">
      <c r="A197" s="644" t="s">
        <v>3648</v>
      </c>
      <c r="B197" s="549">
        <v>4</v>
      </c>
    </row>
    <row r="198" spans="1:3" s="73" customFormat="1">
      <c r="A198" s="400" t="s">
        <v>2278</v>
      </c>
      <c r="B198" s="72"/>
    </row>
    <row r="199" spans="1:3" s="73" customFormat="1">
      <c r="A199" s="72" t="s">
        <v>3649</v>
      </c>
      <c r="B199" s="72">
        <v>2</v>
      </c>
    </row>
    <row r="200" spans="1:3" s="73" customFormat="1" ht="30">
      <c r="A200" s="94" t="s">
        <v>3650</v>
      </c>
      <c r="B200" s="72">
        <v>2</v>
      </c>
    </row>
    <row r="201" spans="1:3" s="73" customFormat="1">
      <c r="A201" s="94" t="s">
        <v>3671</v>
      </c>
      <c r="B201" s="72">
        <v>4</v>
      </c>
    </row>
    <row r="202" spans="1:3" s="73" customFormat="1" ht="15" customHeight="1">
      <c r="A202" s="644" t="s">
        <v>3651</v>
      </c>
      <c r="B202" s="72">
        <v>1</v>
      </c>
    </row>
    <row r="203" spans="1:3" s="73" customFormat="1" ht="15" customHeight="1">
      <c r="A203" s="645" t="s">
        <v>3678</v>
      </c>
      <c r="B203" s="72">
        <v>4</v>
      </c>
    </row>
    <row r="204" spans="1:3" s="73" customFormat="1" ht="15" customHeight="1">
      <c r="A204" s="645" t="s">
        <v>3652</v>
      </c>
      <c r="B204" s="72">
        <v>4</v>
      </c>
    </row>
    <row r="205" spans="1:3" s="73" customFormat="1" ht="15" customHeight="1">
      <c r="A205" s="645" t="s">
        <v>3653</v>
      </c>
      <c r="B205" s="72">
        <v>1</v>
      </c>
    </row>
    <row r="206" spans="1:3" s="73" customFormat="1" ht="32.25" customHeight="1">
      <c r="A206" s="645" t="s">
        <v>3654</v>
      </c>
      <c r="B206" s="72">
        <v>4</v>
      </c>
    </row>
    <row r="207" spans="1:3" s="73" customFormat="1" ht="16.5" customHeight="1">
      <c r="A207" s="645" t="s">
        <v>3655</v>
      </c>
      <c r="B207" s="72">
        <v>2</v>
      </c>
    </row>
    <row r="208" spans="1:3" s="73" customFormat="1" ht="27.75" customHeight="1">
      <c r="A208" s="645" t="s">
        <v>3656</v>
      </c>
      <c r="B208" s="72">
        <v>1</v>
      </c>
    </row>
    <row r="209" spans="1:3" s="73" customFormat="1" ht="27.75" customHeight="1">
      <c r="A209" s="645" t="s">
        <v>3657</v>
      </c>
      <c r="B209" s="72">
        <v>1</v>
      </c>
    </row>
    <row r="210" spans="1:3" s="73" customFormat="1" ht="27.75" customHeight="1">
      <c r="A210" s="645" t="s">
        <v>3658</v>
      </c>
      <c r="B210" s="72">
        <v>4</v>
      </c>
    </row>
    <row r="211" spans="1:3" s="73" customFormat="1">
      <c r="A211" s="400" t="s">
        <v>3308</v>
      </c>
      <c r="B211" s="72">
        <v>1</v>
      </c>
    </row>
    <row r="212" spans="1:3" s="73" customFormat="1" ht="27.75" customHeight="1">
      <c r="A212" s="645" t="s">
        <v>3659</v>
      </c>
      <c r="B212" s="72">
        <v>1</v>
      </c>
    </row>
    <row r="213" spans="1:3" s="73" customFormat="1" ht="21.75" customHeight="1">
      <c r="A213" s="645" t="s">
        <v>3660</v>
      </c>
      <c r="B213" s="72">
        <v>2</v>
      </c>
    </row>
    <row r="214" spans="1:3" s="73" customFormat="1" ht="20.25" customHeight="1">
      <c r="A214" s="645" t="s">
        <v>3661</v>
      </c>
      <c r="B214" s="72">
        <v>2</v>
      </c>
    </row>
    <row r="215" spans="1:3" s="73" customFormat="1">
      <c r="A215" s="128" t="s">
        <v>3662</v>
      </c>
      <c r="B215" s="72">
        <v>1</v>
      </c>
    </row>
    <row r="216" spans="1:3" s="73" customFormat="1">
      <c r="A216" s="170" t="s">
        <v>3663</v>
      </c>
      <c r="B216" s="72">
        <v>1</v>
      </c>
    </row>
    <row r="217" spans="1:3" s="73" customFormat="1">
      <c r="A217" s="645" t="s">
        <v>3664</v>
      </c>
      <c r="B217" s="72">
        <v>1</v>
      </c>
    </row>
    <row r="218" spans="1:3" s="73" customFormat="1">
      <c r="A218" s="128" t="s">
        <v>3665</v>
      </c>
      <c r="B218" s="72">
        <v>1</v>
      </c>
    </row>
    <row r="219" spans="1:3" s="73" customFormat="1" ht="15" customHeight="1" thickBot="1">
      <c r="A219" s="84" t="s">
        <v>3666</v>
      </c>
      <c r="B219" s="72">
        <v>2</v>
      </c>
    </row>
    <row r="220" spans="1:3" s="73" customFormat="1" ht="15.75" customHeight="1">
      <c r="A220" s="387" t="s">
        <v>102</v>
      </c>
      <c r="B220" s="72"/>
    </row>
    <row r="221" spans="1:3" s="73" customFormat="1">
      <c r="A221" s="400" t="s">
        <v>3355</v>
      </c>
      <c r="B221" s="72">
        <v>0.5</v>
      </c>
      <c r="C221" s="73">
        <v>0.25</v>
      </c>
    </row>
    <row r="222" spans="1:3" s="73" customFormat="1">
      <c r="A222" s="400" t="s">
        <v>3356</v>
      </c>
      <c r="B222" s="72">
        <v>1</v>
      </c>
      <c r="C222" s="73">
        <v>0.25</v>
      </c>
    </row>
    <row r="223" spans="1:3" s="73" customFormat="1">
      <c r="A223" s="400" t="s">
        <v>3357</v>
      </c>
      <c r="B223" s="72">
        <v>0.5</v>
      </c>
      <c r="C223" s="73">
        <v>0.5</v>
      </c>
    </row>
    <row r="224" spans="1:3" s="73" customFormat="1" ht="28.5">
      <c r="A224" s="400" t="s">
        <v>3358</v>
      </c>
      <c r="B224" s="72">
        <v>0.5</v>
      </c>
      <c r="C224" s="73">
        <v>0.5</v>
      </c>
    </row>
    <row r="225" spans="1:3" s="73" customFormat="1">
      <c r="A225" s="400" t="s">
        <v>3359</v>
      </c>
      <c r="B225" s="72">
        <v>0.5</v>
      </c>
      <c r="C225" s="73">
        <v>2.5</v>
      </c>
    </row>
    <row r="226" spans="1:3" s="73" customFormat="1">
      <c r="A226" s="400" t="s">
        <v>3360</v>
      </c>
      <c r="B226" s="99">
        <v>0.5</v>
      </c>
      <c r="C226" s="73">
        <v>0.7</v>
      </c>
    </row>
    <row r="227" spans="1:3" s="73" customFormat="1">
      <c r="A227" s="400" t="s">
        <v>3361</v>
      </c>
      <c r="B227" s="99">
        <v>0.5</v>
      </c>
      <c r="C227" s="73">
        <v>1.3</v>
      </c>
    </row>
    <row r="228" spans="1:3" s="73" customFormat="1" ht="21" customHeight="1">
      <c r="A228" s="400" t="s">
        <v>3362</v>
      </c>
      <c r="B228" s="99">
        <v>1</v>
      </c>
      <c r="C228" s="73">
        <v>0.3</v>
      </c>
    </row>
    <row r="229" spans="1:3" s="73" customFormat="1" ht="42.75">
      <c r="A229" s="400" t="s">
        <v>3363</v>
      </c>
      <c r="B229" s="99">
        <v>2</v>
      </c>
      <c r="C229" s="73">
        <v>1.5</v>
      </c>
    </row>
    <row r="230" spans="1:3" s="73" customFormat="1">
      <c r="A230" s="400" t="s">
        <v>3364</v>
      </c>
      <c r="B230" s="99">
        <v>0.5</v>
      </c>
      <c r="C230" s="73">
        <v>1</v>
      </c>
    </row>
    <row r="231" spans="1:3" s="73" customFormat="1" ht="28.5">
      <c r="A231" s="400" t="s">
        <v>3365</v>
      </c>
      <c r="B231" s="72">
        <v>0.5</v>
      </c>
    </row>
    <row r="232" spans="1:3" s="73" customFormat="1" ht="28.5">
      <c r="A232" s="400" t="s">
        <v>3366</v>
      </c>
      <c r="B232" s="99">
        <v>0.5</v>
      </c>
    </row>
    <row r="233" spans="1:3" s="73" customFormat="1" ht="28.5">
      <c r="A233" s="400" t="s">
        <v>3375</v>
      </c>
      <c r="B233" s="99">
        <v>1</v>
      </c>
    </row>
    <row r="234" spans="1:3" s="73" customFormat="1">
      <c r="A234" s="400" t="s">
        <v>3376</v>
      </c>
      <c r="B234" s="99">
        <v>1</v>
      </c>
    </row>
    <row r="235" spans="1:3" s="73" customFormat="1">
      <c r="A235" s="400" t="s">
        <v>3377</v>
      </c>
      <c r="B235" s="99">
        <v>0.5</v>
      </c>
    </row>
    <row r="236" spans="1:3" s="73" customFormat="1">
      <c r="A236" s="400" t="s">
        <v>3378</v>
      </c>
      <c r="B236" s="99">
        <v>0.5</v>
      </c>
    </row>
    <row r="237" spans="1:3" s="73" customFormat="1">
      <c r="A237" s="400" t="s">
        <v>3379</v>
      </c>
      <c r="B237" s="72">
        <v>0.5</v>
      </c>
    </row>
    <row r="238" spans="1:3" s="73" customFormat="1">
      <c r="A238" s="400" t="s">
        <v>3380</v>
      </c>
      <c r="B238" s="99">
        <v>0.5</v>
      </c>
    </row>
    <row r="239" spans="1:3" s="73" customFormat="1">
      <c r="A239" s="400" t="s">
        <v>3381</v>
      </c>
      <c r="B239" s="99">
        <v>0.5</v>
      </c>
    </row>
    <row r="240" spans="1:3" s="73" customFormat="1">
      <c r="A240" s="400" t="s">
        <v>3382</v>
      </c>
      <c r="B240" s="99">
        <v>0.5</v>
      </c>
    </row>
    <row r="241" spans="1:2" s="73" customFormat="1">
      <c r="A241" s="72" t="s">
        <v>3383</v>
      </c>
      <c r="B241" s="129">
        <v>0.5</v>
      </c>
    </row>
    <row r="242" spans="1:2" s="73" customFormat="1">
      <c r="A242" s="72" t="s">
        <v>3384</v>
      </c>
      <c r="B242" s="129">
        <v>1</v>
      </c>
    </row>
    <row r="243" spans="1:2" s="73" customFormat="1">
      <c r="A243" s="400" t="s">
        <v>3398</v>
      </c>
      <c r="B243" s="72">
        <v>0.5</v>
      </c>
    </row>
    <row r="244" spans="1:2" s="73" customFormat="1">
      <c r="A244" s="400" t="s">
        <v>3399</v>
      </c>
      <c r="B244" s="99">
        <v>0.5</v>
      </c>
    </row>
    <row r="245" spans="1:2" s="73" customFormat="1">
      <c r="A245" s="400" t="s">
        <v>3400</v>
      </c>
      <c r="B245" s="99">
        <v>1</v>
      </c>
    </row>
    <row r="246" spans="1:2" s="73" customFormat="1" ht="18.75" customHeight="1">
      <c r="A246" s="400" t="s">
        <v>3401</v>
      </c>
      <c r="B246" s="99">
        <v>0.5</v>
      </c>
    </row>
    <row r="247" spans="1:2" s="73" customFormat="1">
      <c r="A247" s="400" t="s">
        <v>3402</v>
      </c>
      <c r="B247" s="72">
        <v>0.5</v>
      </c>
    </row>
    <row r="248" spans="1:2" s="73" customFormat="1">
      <c r="A248" s="400" t="s">
        <v>3408</v>
      </c>
      <c r="B248" s="72">
        <v>0.5</v>
      </c>
    </row>
    <row r="249" spans="1:2" s="73" customFormat="1">
      <c r="A249" s="400" t="s">
        <v>3403</v>
      </c>
      <c r="B249" s="99">
        <v>0.5</v>
      </c>
    </row>
    <row r="250" spans="1:2" s="73" customFormat="1">
      <c r="A250" s="400" t="s">
        <v>3404</v>
      </c>
      <c r="B250" s="99">
        <v>0.5</v>
      </c>
    </row>
    <row r="251" spans="1:2" s="73" customFormat="1" ht="13.5" customHeight="1">
      <c r="A251" s="400" t="s">
        <v>3405</v>
      </c>
      <c r="B251" s="99">
        <v>0.5</v>
      </c>
    </row>
    <row r="252" spans="1:2" s="73" customFormat="1">
      <c r="A252" s="72" t="s">
        <v>3406</v>
      </c>
      <c r="B252" s="129">
        <v>0.5</v>
      </c>
    </row>
    <row r="253" spans="1:2" s="73" customFormat="1">
      <c r="A253" s="72" t="s">
        <v>3407</v>
      </c>
      <c r="B253" s="129">
        <v>1</v>
      </c>
    </row>
    <row r="254" spans="1:2" s="73" customFormat="1">
      <c r="A254" s="72" t="s">
        <v>3409</v>
      </c>
      <c r="B254" s="129">
        <v>0.5</v>
      </c>
    </row>
    <row r="255" spans="1:2" s="73" customFormat="1">
      <c r="A255" s="72" t="s">
        <v>3420</v>
      </c>
      <c r="B255" s="129">
        <v>0.5</v>
      </c>
    </row>
    <row r="256" spans="1:2" s="73" customFormat="1">
      <c r="A256" s="72" t="s">
        <v>3421</v>
      </c>
      <c r="B256" s="129">
        <v>0.5</v>
      </c>
    </row>
    <row r="257" spans="1:2" s="73" customFormat="1">
      <c r="A257" s="400" t="s">
        <v>3422</v>
      </c>
      <c r="B257" s="72">
        <v>0.5</v>
      </c>
    </row>
    <row r="258" spans="1:2" s="73" customFormat="1">
      <c r="A258" s="400" t="s">
        <v>3423</v>
      </c>
      <c r="B258" s="99">
        <v>0.5</v>
      </c>
    </row>
    <row r="259" spans="1:2" s="73" customFormat="1" ht="28.5">
      <c r="A259" s="400" t="s">
        <v>3424</v>
      </c>
      <c r="B259" s="99">
        <v>0.5</v>
      </c>
    </row>
    <row r="260" spans="1:2" s="73" customFormat="1" ht="16.5" customHeight="1">
      <c r="A260" s="632" t="s">
        <v>3425</v>
      </c>
      <c r="B260" s="72">
        <v>0.5</v>
      </c>
    </row>
    <row r="261" spans="1:2" s="73" customFormat="1">
      <c r="A261" s="400" t="s">
        <v>3426</v>
      </c>
      <c r="B261" s="72">
        <v>0.5</v>
      </c>
    </row>
    <row r="262" spans="1:2" s="73" customFormat="1">
      <c r="A262" s="400" t="s">
        <v>3427</v>
      </c>
      <c r="B262" s="99">
        <v>0.5</v>
      </c>
    </row>
    <row r="263" spans="1:2" s="73" customFormat="1">
      <c r="A263" s="400" t="s">
        <v>3428</v>
      </c>
      <c r="B263" s="99">
        <v>1</v>
      </c>
    </row>
    <row r="264" spans="1:2" s="73" customFormat="1" ht="22.5" customHeight="1">
      <c r="A264" s="412" t="s">
        <v>3429</v>
      </c>
      <c r="B264" s="409">
        <v>0.5</v>
      </c>
    </row>
    <row r="265" spans="1:2" s="73" customFormat="1" ht="19.5" customHeight="1">
      <c r="A265" s="412" t="s">
        <v>3443</v>
      </c>
      <c r="B265" s="413">
        <v>0.5</v>
      </c>
    </row>
    <row r="266" spans="1:2" s="73" customFormat="1">
      <c r="A266" s="412" t="s">
        <v>3444</v>
      </c>
      <c r="B266" s="413"/>
    </row>
    <row r="267" spans="1:2" s="73" customFormat="1" ht="21" customHeight="1">
      <c r="A267" s="640" t="s">
        <v>3445</v>
      </c>
      <c r="B267" s="409">
        <v>0.5</v>
      </c>
    </row>
    <row r="268" spans="1:2" s="73" customFormat="1" ht="29.25">
      <c r="A268" s="641" t="s">
        <v>3446</v>
      </c>
      <c r="B268" s="642">
        <v>1</v>
      </c>
    </row>
    <row r="269" spans="1:2" s="73" customFormat="1">
      <c r="A269" s="641" t="s">
        <v>3447</v>
      </c>
      <c r="B269" s="642">
        <v>0.5</v>
      </c>
    </row>
    <row r="270" spans="1:2" s="73" customFormat="1">
      <c r="A270" s="409" t="s">
        <v>3448</v>
      </c>
      <c r="B270" s="642">
        <v>0.5</v>
      </c>
    </row>
    <row r="271" spans="1:2" s="73" customFormat="1">
      <c r="A271" s="409" t="s">
        <v>3449</v>
      </c>
      <c r="B271" s="642">
        <v>0.5</v>
      </c>
    </row>
    <row r="272" spans="1:2" s="73" customFormat="1">
      <c r="A272" s="641" t="s">
        <v>3450</v>
      </c>
      <c r="B272" s="642">
        <v>0.5</v>
      </c>
    </row>
    <row r="273" spans="1:2" s="73" customFormat="1">
      <c r="A273" s="412" t="s">
        <v>3451</v>
      </c>
      <c r="B273" s="409">
        <v>0.5</v>
      </c>
    </row>
    <row r="274" spans="1:2" s="73" customFormat="1">
      <c r="A274" s="643" t="s">
        <v>3452</v>
      </c>
      <c r="B274" s="409">
        <v>0.5</v>
      </c>
    </row>
    <row r="275" spans="1:2" s="73" customFormat="1" ht="28.5">
      <c r="A275" s="412" t="s">
        <v>3453</v>
      </c>
      <c r="B275" s="413">
        <v>0.5</v>
      </c>
    </row>
    <row r="276" spans="1:2" s="73" customFormat="1" ht="21.75" customHeight="1">
      <c r="A276" s="640" t="s">
        <v>3454</v>
      </c>
      <c r="B276" s="409">
        <v>0.5</v>
      </c>
    </row>
    <row r="277" spans="1:2" s="73" customFormat="1">
      <c r="A277" s="409" t="s">
        <v>3455</v>
      </c>
      <c r="B277" s="642">
        <v>0.5</v>
      </c>
    </row>
    <row r="278" spans="1:2" s="73" customFormat="1" ht="29.25">
      <c r="A278" s="641" t="s">
        <v>3464</v>
      </c>
      <c r="B278" s="409">
        <v>1</v>
      </c>
    </row>
    <row r="279" spans="1:2" s="73" customFormat="1">
      <c r="A279" s="641" t="s">
        <v>3465</v>
      </c>
      <c r="B279" s="409">
        <v>0.5</v>
      </c>
    </row>
    <row r="280" spans="1:2" s="73" customFormat="1">
      <c r="A280" s="641" t="s">
        <v>3467</v>
      </c>
      <c r="B280" s="409">
        <v>0.5</v>
      </c>
    </row>
    <row r="281" spans="1:2" s="73" customFormat="1" ht="29.25">
      <c r="A281" s="641" t="s">
        <v>3466</v>
      </c>
      <c r="B281" s="409">
        <v>0.5</v>
      </c>
    </row>
    <row r="282" spans="1:2" s="73" customFormat="1" ht="29.25">
      <c r="A282" s="641" t="s">
        <v>3468</v>
      </c>
      <c r="B282" s="409">
        <v>1</v>
      </c>
    </row>
    <row r="283" spans="1:2" s="73" customFormat="1">
      <c r="A283" s="641" t="s">
        <v>3469</v>
      </c>
      <c r="B283" s="409">
        <v>0.5</v>
      </c>
    </row>
    <row r="284" spans="1:2" s="73" customFormat="1">
      <c r="A284" s="641" t="s">
        <v>3470</v>
      </c>
      <c r="B284" s="409">
        <v>1</v>
      </c>
    </row>
    <row r="285" spans="1:2" s="73" customFormat="1">
      <c r="A285" s="641" t="s">
        <v>3471</v>
      </c>
      <c r="B285" s="409">
        <v>0.5</v>
      </c>
    </row>
    <row r="286" spans="1:2" s="73" customFormat="1" ht="29.25">
      <c r="A286" s="641" t="s">
        <v>3472</v>
      </c>
      <c r="B286" s="409">
        <v>0.5</v>
      </c>
    </row>
    <row r="287" spans="1:2" s="73" customFormat="1">
      <c r="A287" s="641" t="s">
        <v>3473</v>
      </c>
      <c r="B287" s="409">
        <v>0.5</v>
      </c>
    </row>
    <row r="288" spans="1:2" s="73" customFormat="1">
      <c r="A288" s="641" t="s">
        <v>3474</v>
      </c>
      <c r="B288" s="409">
        <v>0.5</v>
      </c>
    </row>
    <row r="289" spans="1:2" s="73" customFormat="1">
      <c r="A289" s="641" t="s">
        <v>3475</v>
      </c>
      <c r="B289" s="409">
        <v>1</v>
      </c>
    </row>
    <row r="290" spans="1:2" s="73" customFormat="1">
      <c r="A290" s="641" t="s">
        <v>3476</v>
      </c>
      <c r="B290" s="409">
        <v>0.5</v>
      </c>
    </row>
    <row r="291" spans="1:2" s="73" customFormat="1">
      <c r="A291" s="641" t="s">
        <v>3477</v>
      </c>
      <c r="B291" s="409">
        <v>0.5</v>
      </c>
    </row>
    <row r="292" spans="1:2" s="73" customFormat="1">
      <c r="A292" s="641" t="s">
        <v>3498</v>
      </c>
      <c r="B292" s="409">
        <v>0.5</v>
      </c>
    </row>
    <row r="293" spans="1:2" s="73" customFormat="1">
      <c r="A293" s="641" t="s">
        <v>3499</v>
      </c>
      <c r="B293" s="409">
        <v>0.5</v>
      </c>
    </row>
    <row r="294" spans="1:2" s="73" customFormat="1" ht="18.75" customHeight="1">
      <c r="A294" s="641" t="s">
        <v>3500</v>
      </c>
      <c r="B294" s="409">
        <v>1</v>
      </c>
    </row>
    <row r="295" spans="1:2" s="73" customFormat="1" ht="18.75" customHeight="1">
      <c r="A295" s="641" t="s">
        <v>3501</v>
      </c>
      <c r="B295" s="409">
        <v>0.5</v>
      </c>
    </row>
    <row r="296" spans="1:2" s="73" customFormat="1" ht="18.75" customHeight="1">
      <c r="A296" s="641" t="s">
        <v>3503</v>
      </c>
      <c r="B296" s="409">
        <v>0.5</v>
      </c>
    </row>
    <row r="297" spans="1:2" s="73" customFormat="1" ht="18.75" customHeight="1">
      <c r="A297" s="641" t="s">
        <v>3502</v>
      </c>
      <c r="B297" s="409">
        <v>0.5</v>
      </c>
    </row>
    <row r="298" spans="1:2" s="73" customFormat="1" ht="18.75" customHeight="1">
      <c r="A298" s="641" t="s">
        <v>3504</v>
      </c>
      <c r="B298" s="409">
        <v>1</v>
      </c>
    </row>
    <row r="299" spans="1:2" s="73" customFormat="1" ht="18.75" customHeight="1">
      <c r="A299" s="641" t="s">
        <v>3505</v>
      </c>
      <c r="B299" s="409">
        <v>0.5</v>
      </c>
    </row>
    <row r="300" spans="1:2" s="73" customFormat="1" ht="18.75" customHeight="1">
      <c r="A300" s="641" t="s">
        <v>3506</v>
      </c>
      <c r="B300" s="409">
        <v>0.5</v>
      </c>
    </row>
    <row r="301" spans="1:2" s="73" customFormat="1" ht="18.75" customHeight="1">
      <c r="A301" s="641" t="s">
        <v>3507</v>
      </c>
      <c r="B301" s="409">
        <v>0.5</v>
      </c>
    </row>
    <row r="302" spans="1:2" s="73" customFormat="1" ht="18.75" customHeight="1">
      <c r="A302" s="641" t="s">
        <v>3508</v>
      </c>
      <c r="B302" s="409">
        <v>0.5</v>
      </c>
    </row>
    <row r="303" spans="1:2" s="73" customFormat="1" ht="18.75" customHeight="1">
      <c r="A303" s="641" t="s">
        <v>3509</v>
      </c>
      <c r="B303" s="409">
        <v>0.5</v>
      </c>
    </row>
    <row r="304" spans="1:2" s="73" customFormat="1" ht="18.75" customHeight="1">
      <c r="A304" s="641" t="s">
        <v>3510</v>
      </c>
      <c r="B304" s="409">
        <v>0.5</v>
      </c>
    </row>
    <row r="305" spans="1:2" s="73" customFormat="1" ht="18.75" customHeight="1">
      <c r="A305" s="641" t="s">
        <v>3511</v>
      </c>
      <c r="B305" s="409">
        <v>0.5</v>
      </c>
    </row>
    <row r="306" spans="1:2" s="73" customFormat="1" ht="18.75" customHeight="1">
      <c r="A306" s="641" t="s">
        <v>3532</v>
      </c>
      <c r="B306" s="409">
        <v>0.5</v>
      </c>
    </row>
    <row r="307" spans="1:2" s="73" customFormat="1" ht="18.75" customHeight="1">
      <c r="A307" s="641" t="s">
        <v>3533</v>
      </c>
      <c r="B307" s="409">
        <v>1</v>
      </c>
    </row>
    <row r="308" spans="1:2" s="73" customFormat="1" ht="18.75" customHeight="1">
      <c r="A308" s="641" t="s">
        <v>3534</v>
      </c>
      <c r="B308" s="409">
        <v>0.5</v>
      </c>
    </row>
    <row r="309" spans="1:2" s="73" customFormat="1" ht="18.75" customHeight="1">
      <c r="A309" s="641" t="s">
        <v>3535</v>
      </c>
      <c r="B309" s="409">
        <v>1</v>
      </c>
    </row>
    <row r="310" spans="1:2" s="73" customFormat="1" ht="18.75" customHeight="1">
      <c r="A310" s="641" t="s">
        <v>3536</v>
      </c>
      <c r="B310" s="409">
        <v>0.5</v>
      </c>
    </row>
    <row r="311" spans="1:2" s="73" customFormat="1" ht="18.75" customHeight="1">
      <c r="A311" s="641" t="s">
        <v>3537</v>
      </c>
      <c r="B311" s="409">
        <v>0.5</v>
      </c>
    </row>
    <row r="312" spans="1:2" s="73" customFormat="1" ht="18.75" customHeight="1">
      <c r="A312" s="641" t="s">
        <v>3538</v>
      </c>
      <c r="B312" s="409">
        <v>1</v>
      </c>
    </row>
    <row r="313" spans="1:2" s="73" customFormat="1" ht="18.75" customHeight="1">
      <c r="A313" s="641" t="s">
        <v>3539</v>
      </c>
      <c r="B313" s="409">
        <v>0.5</v>
      </c>
    </row>
    <row r="314" spans="1:2" s="73" customFormat="1" ht="31.5" customHeight="1">
      <c r="A314" s="641" t="s">
        <v>3560</v>
      </c>
      <c r="B314" s="409">
        <v>0.5</v>
      </c>
    </row>
    <row r="315" spans="1:2" s="73" customFormat="1" ht="18.75" customHeight="1">
      <c r="A315" s="641" t="s">
        <v>3561</v>
      </c>
      <c r="B315" s="409">
        <v>1</v>
      </c>
    </row>
    <row r="316" spans="1:2" s="73" customFormat="1" ht="18.75" customHeight="1">
      <c r="A316" s="641" t="s">
        <v>3563</v>
      </c>
      <c r="B316" s="409">
        <v>0.5</v>
      </c>
    </row>
    <row r="317" spans="1:2" s="73" customFormat="1" ht="18.75" customHeight="1">
      <c r="A317" s="641" t="s">
        <v>3562</v>
      </c>
      <c r="B317" s="409">
        <v>0.5</v>
      </c>
    </row>
    <row r="318" spans="1:2" s="73" customFormat="1" ht="18.75" customHeight="1">
      <c r="A318" s="641" t="s">
        <v>3564</v>
      </c>
      <c r="B318" s="409">
        <v>0.5</v>
      </c>
    </row>
    <row r="319" spans="1:2" s="73" customFormat="1" ht="18.75" customHeight="1">
      <c r="A319" s="641" t="s">
        <v>3565</v>
      </c>
      <c r="B319" s="409">
        <v>1</v>
      </c>
    </row>
    <row r="320" spans="1:2" s="73" customFormat="1" ht="18.75" customHeight="1">
      <c r="A320" s="641" t="s">
        <v>3566</v>
      </c>
      <c r="B320" s="409">
        <v>0.5</v>
      </c>
    </row>
    <row r="321" spans="1:2" s="73" customFormat="1" ht="18.75" customHeight="1">
      <c r="A321" s="641" t="s">
        <v>3567</v>
      </c>
      <c r="B321" s="409">
        <v>0.5</v>
      </c>
    </row>
    <row r="322" spans="1:2" s="73" customFormat="1" ht="18.75" customHeight="1">
      <c r="A322" s="641" t="s">
        <v>3569</v>
      </c>
      <c r="B322" s="409">
        <v>0.5</v>
      </c>
    </row>
    <row r="323" spans="1:2" s="73" customFormat="1" ht="18.75" customHeight="1">
      <c r="A323" s="641" t="s">
        <v>3568</v>
      </c>
      <c r="B323" s="409">
        <v>0.5</v>
      </c>
    </row>
    <row r="324" spans="1:2" s="73" customFormat="1" ht="18.75" customHeight="1">
      <c r="A324" s="641" t="s">
        <v>3570</v>
      </c>
      <c r="B324" s="409">
        <v>0.5</v>
      </c>
    </row>
    <row r="325" spans="1:2" s="73" customFormat="1" ht="18.75" customHeight="1">
      <c r="A325" s="641" t="s">
        <v>3571</v>
      </c>
      <c r="B325" s="409">
        <v>1</v>
      </c>
    </row>
    <row r="326" spans="1:2" s="73" customFormat="1" ht="30" customHeight="1">
      <c r="A326" s="641" t="s">
        <v>3572</v>
      </c>
      <c r="B326" s="409">
        <v>1</v>
      </c>
    </row>
    <row r="327" spans="1:2" s="73" customFormat="1" ht="17.25" customHeight="1">
      <c r="A327" s="641" t="s">
        <v>3573</v>
      </c>
      <c r="B327" s="409">
        <v>1</v>
      </c>
    </row>
    <row r="328" spans="1:2" s="73" customFormat="1" ht="31.5" customHeight="1">
      <c r="A328" s="641" t="s">
        <v>3574</v>
      </c>
      <c r="B328" s="409">
        <v>1.5</v>
      </c>
    </row>
    <row r="329" spans="1:2" s="73" customFormat="1" ht="19.5" customHeight="1">
      <c r="A329" s="641" t="s">
        <v>3575</v>
      </c>
      <c r="B329" s="409">
        <v>0.5</v>
      </c>
    </row>
    <row r="330" spans="1:2" s="73" customFormat="1" ht="19.5" customHeight="1">
      <c r="A330" s="641" t="s">
        <v>3576</v>
      </c>
      <c r="B330" s="409">
        <v>1</v>
      </c>
    </row>
    <row r="331" spans="1:2" s="73" customFormat="1" ht="19.5" customHeight="1">
      <c r="A331" s="641" t="s">
        <v>3598</v>
      </c>
      <c r="B331" s="409">
        <v>1</v>
      </c>
    </row>
    <row r="332" spans="1:2" s="73" customFormat="1" ht="19.5" customHeight="1">
      <c r="A332" s="641" t="s">
        <v>3600</v>
      </c>
      <c r="B332" s="409">
        <v>0.5</v>
      </c>
    </row>
    <row r="333" spans="1:2" s="73" customFormat="1" ht="19.5" customHeight="1">
      <c r="A333" s="641" t="s">
        <v>3601</v>
      </c>
      <c r="B333" s="409">
        <v>0.5</v>
      </c>
    </row>
    <row r="334" spans="1:2" s="73" customFormat="1" ht="19.5" customHeight="1">
      <c r="A334" s="641" t="s">
        <v>3603</v>
      </c>
      <c r="B334" s="409">
        <v>0.5</v>
      </c>
    </row>
    <row r="335" spans="1:2" s="73" customFormat="1" ht="32.25" customHeight="1">
      <c r="A335" s="641" t="s">
        <v>3602</v>
      </c>
      <c r="B335" s="409">
        <v>2</v>
      </c>
    </row>
    <row r="336" spans="1:2" s="73" customFormat="1" ht="32.25" customHeight="1">
      <c r="A336" s="641" t="s">
        <v>3604</v>
      </c>
      <c r="B336" s="409">
        <v>0.5</v>
      </c>
    </row>
    <row r="337" spans="1:2" s="73" customFormat="1" ht="15" customHeight="1">
      <c r="A337" s="641" t="s">
        <v>3605</v>
      </c>
      <c r="B337" s="409">
        <v>0.5</v>
      </c>
    </row>
    <row r="338" spans="1:2" s="73" customFormat="1" ht="15" customHeight="1">
      <c r="A338" s="641" t="s">
        <v>3606</v>
      </c>
      <c r="B338" s="409">
        <v>0.5</v>
      </c>
    </row>
    <row r="339" spans="1:2" s="73" customFormat="1" ht="15" customHeight="1">
      <c r="A339" s="641" t="s">
        <v>3607</v>
      </c>
      <c r="B339" s="409">
        <v>1</v>
      </c>
    </row>
    <row r="340" spans="1:2" s="73" customFormat="1" ht="15" customHeight="1">
      <c r="A340" s="641" t="s">
        <v>3677</v>
      </c>
      <c r="B340" s="409">
        <v>0.5</v>
      </c>
    </row>
    <row r="341" spans="1:2" s="73" customFormat="1" ht="15" customHeight="1">
      <c r="A341" s="641" t="s">
        <v>3630</v>
      </c>
      <c r="B341" s="409">
        <v>0.5</v>
      </c>
    </row>
    <row r="342" spans="1:2" s="73" customFormat="1" ht="15" customHeight="1">
      <c r="A342" s="641" t="s">
        <v>3631</v>
      </c>
      <c r="B342" s="409">
        <v>0.5</v>
      </c>
    </row>
    <row r="343" spans="1:2" s="73" customFormat="1" ht="15" customHeight="1">
      <c r="A343" s="641" t="s">
        <v>3632</v>
      </c>
      <c r="B343" s="409">
        <v>0.5</v>
      </c>
    </row>
    <row r="344" spans="1:2" s="73" customFormat="1" ht="15" customHeight="1">
      <c r="A344" s="641" t="s">
        <v>3633</v>
      </c>
      <c r="B344" s="409">
        <v>0.5</v>
      </c>
    </row>
    <row r="345" spans="1:2" s="73" customFormat="1" ht="15" customHeight="1">
      <c r="A345" s="641" t="s">
        <v>3634</v>
      </c>
      <c r="B345" s="409">
        <v>0.5</v>
      </c>
    </row>
    <row r="346" spans="1:2" s="73" customFormat="1" ht="15" customHeight="1">
      <c r="A346" s="641" t="s">
        <v>3635</v>
      </c>
      <c r="B346" s="409">
        <v>0.5</v>
      </c>
    </row>
    <row r="347" spans="1:2" s="73" customFormat="1" ht="15" customHeight="1">
      <c r="A347" s="641" t="s">
        <v>3636</v>
      </c>
      <c r="B347" s="409">
        <v>1</v>
      </c>
    </row>
    <row r="348" spans="1:2" s="73" customFormat="1" ht="15" customHeight="1">
      <c r="A348" s="641" t="s">
        <v>3637</v>
      </c>
      <c r="B348" s="409">
        <v>1</v>
      </c>
    </row>
    <row r="349" spans="1:2" s="73" customFormat="1" ht="29.25" customHeight="1">
      <c r="A349" s="641" t="s">
        <v>3638</v>
      </c>
      <c r="B349" s="409">
        <v>1</v>
      </c>
    </row>
    <row r="350" spans="1:2" s="73" customFormat="1" ht="19.5" customHeight="1">
      <c r="A350" s="641" t="s">
        <v>3639</v>
      </c>
      <c r="B350" s="409">
        <v>0.5</v>
      </c>
    </row>
    <row r="351" spans="1:2" s="73" customFormat="1" ht="19.5" customHeight="1">
      <c r="A351" s="641" t="s">
        <v>3640</v>
      </c>
      <c r="B351" s="409">
        <v>0.5</v>
      </c>
    </row>
    <row r="352" spans="1:2" s="73" customFormat="1" ht="19.5" customHeight="1">
      <c r="A352" s="641" t="s">
        <v>3641</v>
      </c>
      <c r="B352" s="409">
        <v>0.5</v>
      </c>
    </row>
    <row r="353" spans="1:251" s="73" customFormat="1" ht="19.5" customHeight="1">
      <c r="A353" s="641" t="s">
        <v>3642</v>
      </c>
      <c r="B353" s="409">
        <v>1</v>
      </c>
    </row>
    <row r="354" spans="1:251" s="73" customFormat="1" ht="19.5" customHeight="1">
      <c r="A354" s="641" t="s">
        <v>3643</v>
      </c>
      <c r="B354" s="409">
        <v>1</v>
      </c>
    </row>
    <row r="355" spans="1:251" s="73" customFormat="1" ht="19.5" customHeight="1">
      <c r="A355" s="641" t="s">
        <v>3667</v>
      </c>
      <c r="B355" s="409">
        <v>0.5</v>
      </c>
    </row>
    <row r="356" spans="1:251" s="73" customFormat="1" ht="19.5" customHeight="1">
      <c r="A356" s="641" t="s">
        <v>3668</v>
      </c>
      <c r="B356" s="409">
        <v>0.5</v>
      </c>
    </row>
    <row r="357" spans="1:251" s="73" customFormat="1" ht="19.5" customHeight="1">
      <c r="A357" s="641" t="s">
        <v>3669</v>
      </c>
      <c r="B357" s="409">
        <v>1</v>
      </c>
    </row>
    <row r="358" spans="1:251" s="73" customFormat="1" ht="19.5" customHeight="1">
      <c r="A358" s="641" t="s">
        <v>3670</v>
      </c>
      <c r="B358" s="409">
        <v>1</v>
      </c>
    </row>
    <row r="359" spans="1:251" s="73" customFormat="1" ht="19.5" customHeight="1">
      <c r="A359" s="641" t="s">
        <v>3672</v>
      </c>
      <c r="B359" s="409">
        <v>0.5</v>
      </c>
    </row>
    <row r="360" spans="1:251" s="73" customFormat="1" ht="19.5" customHeight="1">
      <c r="A360" s="641" t="s">
        <v>3673</v>
      </c>
      <c r="B360" s="409">
        <v>0.5</v>
      </c>
    </row>
    <row r="361" spans="1:251" s="73" customFormat="1" ht="30" customHeight="1">
      <c r="A361" s="641" t="s">
        <v>3674</v>
      </c>
      <c r="B361" s="409">
        <v>4</v>
      </c>
    </row>
    <row r="362" spans="1:251" s="73" customFormat="1" ht="30" customHeight="1">
      <c r="A362" s="641" t="s">
        <v>3675</v>
      </c>
      <c r="B362" s="409">
        <v>1</v>
      </c>
    </row>
    <row r="363" spans="1:251" s="73" customFormat="1" ht="19.5" customHeight="1" thickBot="1">
      <c r="A363" s="641" t="s">
        <v>3676</v>
      </c>
      <c r="B363" s="409">
        <v>0.5</v>
      </c>
    </row>
    <row r="364" spans="1:251" s="73" customFormat="1" ht="15.75" thickBot="1">
      <c r="A364" s="420" t="s">
        <v>104</v>
      </c>
      <c r="B364" s="409">
        <f>SUM(B8:B363)</f>
        <v>543</v>
      </c>
    </row>
    <row r="365" spans="1:251">
      <c r="A365" s="78"/>
      <c r="B365" s="75"/>
    </row>
    <row r="366" spans="1:251" s="179" customFormat="1" ht="43.5" customHeight="1">
      <c r="A366" s="697" t="s">
        <v>3813</v>
      </c>
      <c r="IQ366"/>
    </row>
    <row r="367" spans="1:251">
      <c r="A367" s="217" t="s">
        <v>593</v>
      </c>
      <c r="B367" s="196">
        <v>2341.1</v>
      </c>
      <c r="C367" s="179"/>
      <c r="D367" s="17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  <c r="AA367" s="179"/>
      <c r="AB367" s="179"/>
      <c r="AC367" s="179"/>
      <c r="AD367" s="179"/>
      <c r="AE367" s="179"/>
      <c r="AF367" s="179"/>
      <c r="AG367" s="179"/>
      <c r="AH367" s="179"/>
      <c r="AI367" s="179"/>
      <c r="AJ367" s="179"/>
      <c r="AK367" s="179"/>
      <c r="AL367" s="179"/>
      <c r="AM367" s="179"/>
      <c r="AN367" s="179"/>
      <c r="AO367" s="179"/>
      <c r="AP367" s="179"/>
      <c r="AQ367" s="179"/>
      <c r="AR367" s="179"/>
      <c r="AS367" s="179"/>
      <c r="AT367" s="179"/>
      <c r="AU367" s="179"/>
      <c r="AV367" s="179"/>
      <c r="AW367" s="179"/>
      <c r="AX367" s="179"/>
      <c r="AY367" s="179"/>
      <c r="AZ367" s="179"/>
      <c r="BA367" s="179"/>
      <c r="BB367" s="179"/>
      <c r="BC367" s="179"/>
      <c r="BD367" s="179"/>
      <c r="BE367" s="179"/>
      <c r="BF367" s="179"/>
      <c r="BG367" s="179"/>
      <c r="BH367" s="179"/>
      <c r="BI367" s="179"/>
      <c r="BJ367" s="179"/>
      <c r="BK367" s="179"/>
      <c r="BL367" s="179"/>
      <c r="BM367" s="179"/>
      <c r="BN367" s="179"/>
      <c r="BO367" s="179"/>
      <c r="BP367" s="179"/>
      <c r="BQ367" s="179"/>
      <c r="BR367" s="179"/>
      <c r="BS367" s="179"/>
      <c r="BT367" s="179"/>
      <c r="BU367" s="179"/>
      <c r="BV367" s="179"/>
      <c r="BW367" s="179"/>
      <c r="BX367" s="179"/>
      <c r="BY367" s="179"/>
      <c r="BZ367" s="179"/>
      <c r="CA367" s="179"/>
      <c r="CB367" s="179"/>
      <c r="CC367" s="179"/>
      <c r="CD367" s="179"/>
      <c r="CE367" s="179"/>
      <c r="CF367" s="179"/>
      <c r="CG367" s="179"/>
      <c r="CH367" s="179"/>
      <c r="CI367" s="179"/>
      <c r="CJ367" s="179"/>
      <c r="CK367" s="179"/>
      <c r="CL367" s="179"/>
      <c r="CM367" s="179"/>
      <c r="CN367" s="179"/>
      <c r="CO367" s="179"/>
      <c r="CP367" s="179"/>
      <c r="CQ367" s="179"/>
      <c r="CR367" s="179"/>
      <c r="CS367" s="179"/>
      <c r="CT367" s="179"/>
      <c r="CU367" s="179"/>
      <c r="CV367" s="179"/>
      <c r="CW367" s="179"/>
      <c r="CX367" s="179"/>
      <c r="CY367" s="179"/>
      <c r="CZ367" s="179"/>
      <c r="DA367" s="179"/>
      <c r="DB367" s="179"/>
      <c r="DC367" s="179"/>
      <c r="DD367" s="179"/>
      <c r="DE367" s="179"/>
      <c r="DF367" s="179"/>
      <c r="DG367" s="179"/>
      <c r="DH367" s="179"/>
      <c r="DI367" s="179"/>
      <c r="DJ367" s="179"/>
      <c r="DK367" s="179"/>
      <c r="DL367" s="179"/>
      <c r="DM367" s="179"/>
      <c r="DN367" s="179"/>
      <c r="DO367" s="179"/>
      <c r="DP367" s="179"/>
      <c r="DQ367" s="179"/>
      <c r="DR367" s="179"/>
      <c r="DS367" s="179"/>
      <c r="DT367" s="179"/>
      <c r="DU367" s="179"/>
      <c r="DV367" s="179"/>
      <c r="DW367" s="179"/>
      <c r="DX367" s="179"/>
      <c r="DY367" s="179"/>
      <c r="DZ367" s="179"/>
      <c r="EA367" s="179"/>
      <c r="EB367" s="179"/>
      <c r="EC367" s="179"/>
      <c r="ED367" s="179"/>
      <c r="EE367" s="179"/>
      <c r="EF367" s="179"/>
      <c r="EG367" s="179"/>
      <c r="EH367" s="179"/>
      <c r="EI367" s="179"/>
      <c r="EJ367" s="179"/>
      <c r="EK367" s="179"/>
      <c r="EL367" s="179"/>
      <c r="EM367" s="179"/>
      <c r="EN367" s="179"/>
      <c r="EO367" s="179"/>
      <c r="EP367" s="179"/>
      <c r="EQ367" s="179"/>
      <c r="ER367" s="179"/>
      <c r="ES367" s="179"/>
      <c r="ET367" s="179"/>
      <c r="EU367" s="179"/>
      <c r="EV367" s="179"/>
      <c r="EW367" s="179"/>
      <c r="EX367" s="179"/>
      <c r="EY367" s="179"/>
      <c r="EZ367" s="179"/>
      <c r="FA367" s="179"/>
      <c r="FB367" s="179"/>
      <c r="FC367" s="179"/>
      <c r="FD367" s="179"/>
      <c r="FE367" s="179"/>
      <c r="FF367" s="179"/>
      <c r="FG367" s="179"/>
      <c r="FH367" s="179"/>
      <c r="FI367" s="179"/>
      <c r="FJ367" s="179"/>
      <c r="FK367" s="179"/>
      <c r="FL367" s="179"/>
      <c r="FM367" s="179"/>
      <c r="FN367" s="179"/>
      <c r="FO367" s="179"/>
      <c r="FP367" s="179"/>
      <c r="FQ367" s="179"/>
      <c r="FR367" s="179"/>
      <c r="FS367" s="179"/>
      <c r="FT367" s="179"/>
      <c r="FU367" s="179"/>
      <c r="FV367" s="179"/>
      <c r="FW367" s="179"/>
      <c r="FX367" s="179"/>
      <c r="FY367" s="179"/>
      <c r="FZ367" s="179"/>
      <c r="GA367" s="179"/>
      <c r="GB367" s="179"/>
      <c r="GC367" s="179"/>
      <c r="GD367" s="179"/>
      <c r="GE367" s="179"/>
      <c r="GF367" s="179"/>
      <c r="GG367" s="179"/>
      <c r="GH367" s="179"/>
      <c r="GI367" s="179"/>
      <c r="GJ367" s="179"/>
      <c r="GK367" s="179"/>
      <c r="GL367" s="179"/>
      <c r="GM367" s="179"/>
      <c r="GN367" s="179"/>
      <c r="GO367" s="179"/>
      <c r="GP367" s="179"/>
      <c r="GQ367" s="179"/>
      <c r="GR367" s="179"/>
      <c r="GS367" s="179"/>
      <c r="GT367" s="179"/>
      <c r="GU367" s="179"/>
      <c r="GV367" s="179"/>
      <c r="GW367" s="179"/>
      <c r="GX367" s="179"/>
      <c r="GY367" s="179"/>
      <c r="GZ367" s="179"/>
      <c r="HA367" s="179"/>
      <c r="HB367" s="179"/>
      <c r="HC367" s="179"/>
      <c r="HD367" s="179"/>
      <c r="HE367" s="179"/>
      <c r="HF367" s="179"/>
      <c r="HG367" s="179"/>
      <c r="HH367" s="179"/>
      <c r="HI367" s="179"/>
      <c r="HJ367" s="179"/>
      <c r="HK367" s="179"/>
      <c r="HL367" s="179"/>
      <c r="HM367" s="179"/>
      <c r="HN367" s="179"/>
      <c r="HO367" s="179"/>
      <c r="HP367" s="179"/>
      <c r="HQ367" s="179"/>
      <c r="HR367" s="179"/>
      <c r="HS367" s="179"/>
      <c r="HT367" s="179"/>
      <c r="HU367" s="179"/>
      <c r="HV367" s="179"/>
      <c r="HW367" s="179"/>
      <c r="HX367" s="179"/>
      <c r="HY367" s="179"/>
      <c r="HZ367" s="179"/>
      <c r="IA367" s="179"/>
      <c r="IB367" s="179"/>
      <c r="IC367" s="179"/>
      <c r="ID367" s="179"/>
      <c r="IE367" s="179"/>
      <c r="IF367" s="179"/>
      <c r="IG367" s="179"/>
      <c r="IH367" s="179"/>
      <c r="II367" s="179"/>
      <c r="IJ367" s="179"/>
      <c r="IK367" s="179"/>
      <c r="IL367" s="179"/>
      <c r="IM367" s="179"/>
      <c r="IN367" s="179"/>
      <c r="IO367" s="179"/>
      <c r="IP367" s="179"/>
    </row>
    <row r="368" spans="1:251">
      <c r="A368" s="217" t="s">
        <v>594</v>
      </c>
      <c r="B368" s="196">
        <f>19.16+28.89</f>
        <v>48.05</v>
      </c>
      <c r="C368" s="179"/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  <c r="AA368" s="179"/>
      <c r="AB368" s="179"/>
      <c r="AC368" s="179"/>
      <c r="AD368" s="179"/>
      <c r="AE368" s="179"/>
      <c r="AF368" s="179"/>
      <c r="AG368" s="179"/>
      <c r="AH368" s="179"/>
      <c r="AI368" s="179"/>
      <c r="AJ368" s="179"/>
      <c r="AK368" s="179"/>
      <c r="AL368" s="179"/>
      <c r="AM368" s="179"/>
      <c r="AN368" s="179"/>
      <c r="AO368" s="179"/>
      <c r="AP368" s="179"/>
      <c r="AQ368" s="179"/>
      <c r="AR368" s="179"/>
      <c r="AS368" s="179"/>
      <c r="AT368" s="179"/>
      <c r="AU368" s="179"/>
      <c r="AV368" s="179"/>
      <c r="AW368" s="179"/>
      <c r="AX368" s="179"/>
      <c r="AY368" s="179"/>
      <c r="AZ368" s="179"/>
      <c r="BA368" s="179"/>
      <c r="BB368" s="179"/>
      <c r="BC368" s="179"/>
      <c r="BD368" s="179"/>
      <c r="BE368" s="179"/>
      <c r="BF368" s="179"/>
      <c r="BG368" s="179"/>
      <c r="BH368" s="179"/>
      <c r="BI368" s="179"/>
      <c r="BJ368" s="179"/>
      <c r="BK368" s="179"/>
      <c r="BL368" s="179"/>
      <c r="BM368" s="179"/>
      <c r="BN368" s="179"/>
      <c r="BO368" s="179"/>
      <c r="BP368" s="179"/>
      <c r="BQ368" s="179"/>
      <c r="BR368" s="179"/>
      <c r="BS368" s="179"/>
      <c r="BT368" s="179"/>
      <c r="BU368" s="179"/>
      <c r="BV368" s="179"/>
      <c r="BW368" s="179"/>
      <c r="BX368" s="179"/>
      <c r="BY368" s="179"/>
      <c r="BZ368" s="179"/>
      <c r="CA368" s="179"/>
      <c r="CB368" s="179"/>
      <c r="CC368" s="179"/>
      <c r="CD368" s="179"/>
      <c r="CE368" s="179"/>
      <c r="CF368" s="179"/>
      <c r="CG368" s="179"/>
      <c r="CH368" s="179"/>
      <c r="CI368" s="179"/>
      <c r="CJ368" s="179"/>
      <c r="CK368" s="179"/>
      <c r="CL368" s="179"/>
      <c r="CM368" s="179"/>
      <c r="CN368" s="179"/>
      <c r="CO368" s="179"/>
      <c r="CP368" s="179"/>
      <c r="CQ368" s="179"/>
      <c r="CR368" s="179"/>
      <c r="CS368" s="179"/>
      <c r="CT368" s="179"/>
      <c r="CU368" s="179"/>
      <c r="CV368" s="179"/>
      <c r="CW368" s="179"/>
      <c r="CX368" s="179"/>
      <c r="CY368" s="179"/>
      <c r="CZ368" s="179"/>
      <c r="DA368" s="179"/>
      <c r="DB368" s="179"/>
      <c r="DC368" s="179"/>
      <c r="DD368" s="179"/>
      <c r="DE368" s="179"/>
      <c r="DF368" s="179"/>
      <c r="DG368" s="179"/>
      <c r="DH368" s="179"/>
      <c r="DI368" s="179"/>
      <c r="DJ368" s="179"/>
      <c r="DK368" s="179"/>
      <c r="DL368" s="179"/>
      <c r="DM368" s="179"/>
      <c r="DN368" s="179"/>
      <c r="DO368" s="179"/>
      <c r="DP368" s="179"/>
      <c r="DQ368" s="179"/>
      <c r="DR368" s="179"/>
      <c r="DS368" s="179"/>
      <c r="DT368" s="179"/>
      <c r="DU368" s="179"/>
      <c r="DV368" s="179"/>
      <c r="DW368" s="179"/>
      <c r="DX368" s="179"/>
      <c r="DY368" s="179"/>
      <c r="DZ368" s="179"/>
      <c r="EA368" s="179"/>
      <c r="EB368" s="179"/>
      <c r="EC368" s="179"/>
      <c r="ED368" s="179"/>
      <c r="EE368" s="179"/>
      <c r="EF368" s="179"/>
      <c r="EG368" s="179"/>
      <c r="EH368" s="179"/>
      <c r="EI368" s="179"/>
      <c r="EJ368" s="179"/>
      <c r="EK368" s="179"/>
      <c r="EL368" s="179"/>
      <c r="EM368" s="179"/>
      <c r="EN368" s="179"/>
      <c r="EO368" s="179"/>
      <c r="EP368" s="179"/>
      <c r="EQ368" s="179"/>
      <c r="ER368" s="179"/>
      <c r="ES368" s="179"/>
      <c r="ET368" s="179"/>
      <c r="EU368" s="179"/>
      <c r="EV368" s="179"/>
      <c r="EW368" s="179"/>
      <c r="EX368" s="179"/>
      <c r="EY368" s="179"/>
      <c r="EZ368" s="179"/>
      <c r="FA368" s="179"/>
      <c r="FB368" s="179"/>
      <c r="FC368" s="179"/>
      <c r="FD368" s="179"/>
      <c r="FE368" s="179"/>
      <c r="FF368" s="179"/>
      <c r="FG368" s="179"/>
      <c r="FH368" s="179"/>
      <c r="FI368" s="179"/>
      <c r="FJ368" s="179"/>
      <c r="FK368" s="179"/>
      <c r="FL368" s="179"/>
      <c r="FM368" s="179"/>
      <c r="FN368" s="179"/>
      <c r="FO368" s="179"/>
      <c r="FP368" s="179"/>
      <c r="FQ368" s="179"/>
      <c r="FR368" s="179"/>
      <c r="FS368" s="179"/>
      <c r="FT368" s="179"/>
      <c r="FU368" s="179"/>
      <c r="FV368" s="179"/>
      <c r="FW368" s="179"/>
      <c r="FX368" s="179"/>
      <c r="FY368" s="179"/>
      <c r="FZ368" s="179"/>
      <c r="GA368" s="179"/>
      <c r="GB368" s="179"/>
      <c r="GC368" s="179"/>
      <c r="GD368" s="179"/>
      <c r="GE368" s="179"/>
      <c r="GF368" s="179"/>
      <c r="GG368" s="179"/>
      <c r="GH368" s="179"/>
      <c r="GI368" s="179"/>
      <c r="GJ368" s="179"/>
      <c r="GK368" s="179"/>
      <c r="GL368" s="179"/>
      <c r="GM368" s="179"/>
      <c r="GN368" s="179"/>
      <c r="GO368" s="179"/>
      <c r="GP368" s="179"/>
      <c r="GQ368" s="179"/>
      <c r="GR368" s="179"/>
      <c r="GS368" s="179"/>
      <c r="GT368" s="179"/>
      <c r="GU368" s="179"/>
      <c r="GV368" s="179"/>
      <c r="GW368" s="179"/>
      <c r="GX368" s="179"/>
      <c r="GY368" s="179"/>
      <c r="GZ368" s="179"/>
      <c r="HA368" s="179"/>
      <c r="HB368" s="179"/>
      <c r="HC368" s="179"/>
      <c r="HD368" s="179"/>
      <c r="HE368" s="179"/>
      <c r="HF368" s="179"/>
      <c r="HG368" s="179"/>
      <c r="HH368" s="179"/>
      <c r="HI368" s="179"/>
      <c r="HJ368" s="179"/>
      <c r="HK368" s="179"/>
      <c r="HL368" s="179"/>
      <c r="HM368" s="179"/>
      <c r="HN368" s="179"/>
      <c r="HO368" s="179"/>
      <c r="HP368" s="179"/>
      <c r="HQ368" s="179"/>
      <c r="HR368" s="179"/>
      <c r="HS368" s="179"/>
      <c r="HT368" s="179"/>
      <c r="HU368" s="179"/>
      <c r="HV368" s="179"/>
      <c r="HW368" s="179"/>
      <c r="HX368" s="179"/>
      <c r="HY368" s="179"/>
      <c r="HZ368" s="179"/>
      <c r="IA368" s="179"/>
      <c r="IB368" s="179"/>
      <c r="IC368" s="179"/>
      <c r="ID368" s="179"/>
      <c r="IE368" s="179"/>
      <c r="IF368" s="179"/>
      <c r="IG368" s="179"/>
      <c r="IH368" s="179"/>
      <c r="II368" s="179"/>
      <c r="IJ368" s="179"/>
      <c r="IK368" s="179"/>
      <c r="IL368" s="179"/>
      <c r="IM368" s="179"/>
      <c r="IN368" s="179"/>
      <c r="IO368" s="179"/>
      <c r="IP368" s="179"/>
    </row>
    <row r="369" spans="1:250">
      <c r="A369" s="218" t="s">
        <v>711</v>
      </c>
      <c r="B369" s="193">
        <v>520693.38</v>
      </c>
      <c r="C369" s="179"/>
      <c r="D369" s="179"/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  <c r="AA369" s="179"/>
      <c r="AB369" s="179"/>
      <c r="AC369" s="179"/>
      <c r="AD369" s="179"/>
      <c r="AE369" s="179"/>
      <c r="AF369" s="179"/>
      <c r="AG369" s="179"/>
      <c r="AH369" s="179"/>
      <c r="AI369" s="179"/>
      <c r="AJ369" s="179"/>
      <c r="AK369" s="179"/>
      <c r="AL369" s="179"/>
      <c r="AM369" s="179"/>
      <c r="AN369" s="179"/>
      <c r="AO369" s="179"/>
      <c r="AP369" s="179"/>
      <c r="AQ369" s="179"/>
      <c r="AR369" s="179"/>
      <c r="AS369" s="179"/>
      <c r="AT369" s="179"/>
      <c r="AU369" s="179"/>
      <c r="AV369" s="179"/>
      <c r="AW369" s="179"/>
      <c r="AX369" s="179"/>
      <c r="AY369" s="179"/>
      <c r="AZ369" s="179"/>
      <c r="BA369" s="179"/>
      <c r="BB369" s="179"/>
      <c r="BC369" s="179"/>
      <c r="BD369" s="179"/>
      <c r="BE369" s="179"/>
      <c r="BF369" s="179"/>
      <c r="BG369" s="179"/>
      <c r="BH369" s="179"/>
      <c r="BI369" s="179"/>
      <c r="BJ369" s="179"/>
      <c r="BK369" s="179"/>
      <c r="BL369" s="179"/>
      <c r="BM369" s="179"/>
      <c r="BN369" s="179"/>
      <c r="BO369" s="179"/>
      <c r="BP369" s="179"/>
      <c r="BQ369" s="179"/>
      <c r="BR369" s="179"/>
      <c r="BS369" s="179"/>
      <c r="BT369" s="179"/>
      <c r="BU369" s="179"/>
      <c r="BV369" s="179"/>
      <c r="BW369" s="179"/>
      <c r="BX369" s="179"/>
      <c r="BY369" s="179"/>
      <c r="BZ369" s="179"/>
      <c r="CA369" s="179"/>
      <c r="CB369" s="179"/>
      <c r="CC369" s="179"/>
      <c r="CD369" s="179"/>
      <c r="CE369" s="179"/>
      <c r="CF369" s="179"/>
      <c r="CG369" s="179"/>
      <c r="CH369" s="179"/>
      <c r="CI369" s="179"/>
      <c r="CJ369" s="179"/>
      <c r="CK369" s="179"/>
      <c r="CL369" s="179"/>
      <c r="CM369" s="179"/>
      <c r="CN369" s="179"/>
      <c r="CO369" s="179"/>
      <c r="CP369" s="179"/>
      <c r="CQ369" s="179"/>
      <c r="CR369" s="179"/>
      <c r="CS369" s="179"/>
      <c r="CT369" s="179"/>
      <c r="CU369" s="179"/>
      <c r="CV369" s="179"/>
      <c r="CW369" s="179"/>
      <c r="CX369" s="179"/>
      <c r="CY369" s="179"/>
      <c r="CZ369" s="179"/>
      <c r="DA369" s="179"/>
      <c r="DB369" s="179"/>
      <c r="DC369" s="179"/>
      <c r="DD369" s="179"/>
      <c r="DE369" s="179"/>
      <c r="DF369" s="179"/>
      <c r="DG369" s="179"/>
      <c r="DH369" s="179"/>
      <c r="DI369" s="179"/>
      <c r="DJ369" s="179"/>
      <c r="DK369" s="179"/>
      <c r="DL369" s="179"/>
      <c r="DM369" s="179"/>
      <c r="DN369" s="179"/>
      <c r="DO369" s="179"/>
      <c r="DP369" s="179"/>
      <c r="DQ369" s="179"/>
      <c r="DR369" s="179"/>
      <c r="DS369" s="179"/>
      <c r="DT369" s="179"/>
      <c r="DU369" s="179"/>
      <c r="DV369" s="179"/>
      <c r="DW369" s="179"/>
      <c r="DX369" s="179"/>
      <c r="DY369" s="179"/>
      <c r="DZ369" s="179"/>
      <c r="EA369" s="179"/>
      <c r="EB369" s="179"/>
      <c r="EC369" s="179"/>
      <c r="ED369" s="179"/>
      <c r="EE369" s="179"/>
      <c r="EF369" s="179"/>
      <c r="EG369" s="179"/>
      <c r="EH369" s="179"/>
      <c r="EI369" s="179"/>
      <c r="EJ369" s="179"/>
      <c r="EK369" s="179"/>
      <c r="EL369" s="179"/>
      <c r="EM369" s="179"/>
      <c r="EN369" s="179"/>
      <c r="EO369" s="179"/>
      <c r="EP369" s="179"/>
      <c r="EQ369" s="179"/>
      <c r="ER369" s="179"/>
      <c r="ES369" s="179"/>
      <c r="ET369" s="179"/>
      <c r="EU369" s="179"/>
      <c r="EV369" s="179"/>
      <c r="EW369" s="179"/>
      <c r="EX369" s="179"/>
      <c r="EY369" s="179"/>
      <c r="EZ369" s="179"/>
      <c r="FA369" s="179"/>
      <c r="FB369" s="179"/>
      <c r="FC369" s="179"/>
      <c r="FD369" s="179"/>
      <c r="FE369" s="179"/>
      <c r="FF369" s="179"/>
      <c r="FG369" s="179"/>
      <c r="FH369" s="179"/>
      <c r="FI369" s="179"/>
      <c r="FJ369" s="179"/>
      <c r="FK369" s="179"/>
      <c r="FL369" s="179"/>
      <c r="FM369" s="179"/>
      <c r="FN369" s="179"/>
      <c r="FO369" s="179"/>
      <c r="FP369" s="179"/>
      <c r="FQ369" s="179"/>
      <c r="FR369" s="179"/>
      <c r="FS369" s="179"/>
      <c r="FT369" s="179"/>
      <c r="FU369" s="179"/>
      <c r="FV369" s="179"/>
      <c r="FW369" s="179"/>
      <c r="FX369" s="179"/>
      <c r="FY369" s="179"/>
      <c r="FZ369" s="179"/>
      <c r="GA369" s="179"/>
      <c r="GB369" s="179"/>
      <c r="GC369" s="179"/>
      <c r="GD369" s="179"/>
      <c r="GE369" s="179"/>
      <c r="GF369" s="179"/>
      <c r="GG369" s="179"/>
      <c r="GH369" s="179"/>
      <c r="GI369" s="179"/>
      <c r="GJ369" s="179"/>
      <c r="GK369" s="179"/>
      <c r="GL369" s="179"/>
      <c r="GM369" s="179"/>
      <c r="GN369" s="179"/>
      <c r="GO369" s="179"/>
      <c r="GP369" s="179"/>
      <c r="GQ369" s="179"/>
      <c r="GR369" s="179"/>
      <c r="GS369" s="179"/>
      <c r="GT369" s="179"/>
      <c r="GU369" s="179"/>
      <c r="GV369" s="179"/>
      <c r="GW369" s="179"/>
      <c r="GX369" s="179"/>
      <c r="GY369" s="179"/>
      <c r="GZ369" s="179"/>
      <c r="HA369" s="179"/>
      <c r="HB369" s="179"/>
      <c r="HC369" s="179"/>
      <c r="HD369" s="179"/>
      <c r="HE369" s="179"/>
      <c r="HF369" s="179"/>
      <c r="HG369" s="179"/>
      <c r="HH369" s="179"/>
      <c r="HI369" s="179"/>
      <c r="HJ369" s="179"/>
      <c r="HK369" s="179"/>
      <c r="HL369" s="179"/>
      <c r="HM369" s="179"/>
      <c r="HN369" s="179"/>
      <c r="HO369" s="179"/>
      <c r="HP369" s="179"/>
      <c r="HQ369" s="179"/>
      <c r="HR369" s="179"/>
      <c r="HS369" s="179"/>
      <c r="HT369" s="179"/>
      <c r="HU369" s="179"/>
      <c r="HV369" s="179"/>
      <c r="HW369" s="179"/>
      <c r="HX369" s="179"/>
      <c r="HY369" s="179"/>
      <c r="HZ369" s="179"/>
      <c r="IA369" s="179"/>
      <c r="IB369" s="179"/>
      <c r="IC369" s="179"/>
      <c r="ID369" s="179"/>
      <c r="IE369" s="179"/>
      <c r="IF369" s="179"/>
      <c r="IG369" s="179"/>
      <c r="IH369" s="179"/>
      <c r="II369" s="179"/>
      <c r="IJ369" s="179"/>
      <c r="IK369" s="179"/>
      <c r="IL369" s="179"/>
      <c r="IM369" s="179"/>
      <c r="IN369" s="179"/>
      <c r="IO369" s="179"/>
      <c r="IP369" s="179"/>
    </row>
    <row r="370" spans="1:250">
      <c r="A370" s="218" t="s">
        <v>2417</v>
      </c>
      <c r="B370" s="193">
        <f>537185.4+809984.4</f>
        <v>1347169.8</v>
      </c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  <c r="AA370" s="179"/>
      <c r="AB370" s="179"/>
      <c r="AC370" s="179"/>
      <c r="AD370" s="179"/>
      <c r="AE370" s="179"/>
      <c r="AF370" s="179"/>
      <c r="AG370" s="179"/>
      <c r="AH370" s="179"/>
      <c r="AI370" s="179"/>
      <c r="AJ370" s="179"/>
      <c r="AK370" s="179"/>
      <c r="AL370" s="179"/>
      <c r="AM370" s="179"/>
      <c r="AN370" s="179"/>
      <c r="AO370" s="179"/>
      <c r="AP370" s="179"/>
      <c r="AQ370" s="179"/>
      <c r="AR370" s="179"/>
      <c r="AS370" s="179"/>
      <c r="AT370" s="179"/>
      <c r="AU370" s="179"/>
      <c r="AV370" s="179"/>
      <c r="AW370" s="179"/>
      <c r="AX370" s="179"/>
      <c r="AY370" s="179"/>
      <c r="AZ370" s="179"/>
      <c r="BA370" s="179"/>
      <c r="BB370" s="179"/>
      <c r="BC370" s="179"/>
      <c r="BD370" s="179"/>
      <c r="BE370" s="179"/>
      <c r="BF370" s="179"/>
      <c r="BG370" s="179"/>
      <c r="BH370" s="179"/>
      <c r="BI370" s="179"/>
      <c r="BJ370" s="179"/>
      <c r="BK370" s="179"/>
      <c r="BL370" s="179"/>
      <c r="BM370" s="179"/>
      <c r="BN370" s="179"/>
      <c r="BO370" s="179"/>
      <c r="BP370" s="179"/>
      <c r="BQ370" s="179"/>
      <c r="BR370" s="179"/>
      <c r="BS370" s="179"/>
      <c r="BT370" s="179"/>
      <c r="BU370" s="179"/>
      <c r="BV370" s="179"/>
      <c r="BW370" s="179"/>
      <c r="BX370" s="179"/>
      <c r="BY370" s="179"/>
      <c r="BZ370" s="179"/>
      <c r="CA370" s="179"/>
      <c r="CB370" s="179"/>
      <c r="CC370" s="179"/>
      <c r="CD370" s="179"/>
      <c r="CE370" s="179"/>
      <c r="CF370" s="179"/>
      <c r="CG370" s="179"/>
      <c r="CH370" s="179"/>
      <c r="CI370" s="179"/>
      <c r="CJ370" s="179"/>
      <c r="CK370" s="179"/>
      <c r="CL370" s="179"/>
      <c r="CM370" s="179"/>
      <c r="CN370" s="179"/>
      <c r="CO370" s="179"/>
      <c r="CP370" s="179"/>
      <c r="CQ370" s="179"/>
      <c r="CR370" s="179"/>
      <c r="CS370" s="179"/>
      <c r="CT370" s="179"/>
      <c r="CU370" s="179"/>
      <c r="CV370" s="179"/>
      <c r="CW370" s="179"/>
      <c r="CX370" s="179"/>
      <c r="CY370" s="179"/>
      <c r="CZ370" s="179"/>
      <c r="DA370" s="179"/>
      <c r="DB370" s="179"/>
      <c r="DC370" s="179"/>
      <c r="DD370" s="179"/>
      <c r="DE370" s="179"/>
      <c r="DF370" s="179"/>
      <c r="DG370" s="179"/>
      <c r="DH370" s="179"/>
      <c r="DI370" s="179"/>
      <c r="DJ370" s="179"/>
      <c r="DK370" s="179"/>
      <c r="DL370" s="179"/>
      <c r="DM370" s="179"/>
      <c r="DN370" s="179"/>
      <c r="DO370" s="179"/>
      <c r="DP370" s="179"/>
      <c r="DQ370" s="179"/>
      <c r="DR370" s="179"/>
      <c r="DS370" s="179"/>
      <c r="DT370" s="179"/>
      <c r="DU370" s="179"/>
      <c r="DV370" s="179"/>
      <c r="DW370" s="179"/>
      <c r="DX370" s="179"/>
      <c r="DY370" s="179"/>
      <c r="DZ370" s="179"/>
      <c r="EA370" s="179"/>
      <c r="EB370" s="179"/>
      <c r="EC370" s="179"/>
      <c r="ED370" s="179"/>
      <c r="EE370" s="179"/>
      <c r="EF370" s="179"/>
      <c r="EG370" s="179"/>
      <c r="EH370" s="179"/>
      <c r="EI370" s="179"/>
      <c r="EJ370" s="179"/>
      <c r="EK370" s="179"/>
      <c r="EL370" s="179"/>
      <c r="EM370" s="179"/>
      <c r="EN370" s="179"/>
      <c r="EO370" s="179"/>
      <c r="EP370" s="179"/>
      <c r="EQ370" s="179"/>
      <c r="ER370" s="179"/>
      <c r="ES370" s="179"/>
      <c r="ET370" s="179"/>
      <c r="EU370" s="179"/>
      <c r="EV370" s="179"/>
      <c r="EW370" s="179"/>
      <c r="EX370" s="179"/>
      <c r="EY370" s="179"/>
      <c r="EZ370" s="179"/>
      <c r="FA370" s="179"/>
      <c r="FB370" s="179"/>
      <c r="FC370" s="179"/>
      <c r="FD370" s="179"/>
      <c r="FE370" s="179"/>
      <c r="FF370" s="179"/>
      <c r="FG370" s="179"/>
      <c r="FH370" s="179"/>
      <c r="FI370" s="179"/>
      <c r="FJ370" s="179"/>
      <c r="FK370" s="179"/>
      <c r="FL370" s="179"/>
      <c r="FM370" s="179"/>
      <c r="FN370" s="179"/>
      <c r="FO370" s="179"/>
      <c r="FP370" s="179"/>
      <c r="FQ370" s="179"/>
      <c r="FR370" s="179"/>
      <c r="FS370" s="179"/>
      <c r="FT370" s="179"/>
      <c r="FU370" s="179"/>
      <c r="FV370" s="179"/>
      <c r="FW370" s="179"/>
      <c r="FX370" s="179"/>
      <c r="FY370" s="179"/>
      <c r="FZ370" s="179"/>
      <c r="GA370" s="179"/>
      <c r="GB370" s="179"/>
      <c r="GC370" s="179"/>
      <c r="GD370" s="179"/>
      <c r="GE370" s="179"/>
      <c r="GF370" s="179"/>
      <c r="GG370" s="179"/>
      <c r="GH370" s="179"/>
      <c r="GI370" s="179"/>
      <c r="GJ370" s="179"/>
      <c r="GK370" s="179"/>
      <c r="GL370" s="179"/>
      <c r="GM370" s="179"/>
      <c r="GN370" s="179"/>
      <c r="GO370" s="179"/>
      <c r="GP370" s="179"/>
      <c r="GQ370" s="179"/>
      <c r="GR370" s="179"/>
      <c r="GS370" s="179"/>
      <c r="GT370" s="179"/>
      <c r="GU370" s="179"/>
      <c r="GV370" s="179"/>
      <c r="GW370" s="179"/>
      <c r="GX370" s="179"/>
      <c r="GY370" s="179"/>
      <c r="GZ370" s="179"/>
      <c r="HA370" s="179"/>
      <c r="HB370" s="179"/>
      <c r="HC370" s="179"/>
      <c r="HD370" s="179"/>
      <c r="HE370" s="179"/>
      <c r="HF370" s="179"/>
      <c r="HG370" s="179"/>
      <c r="HH370" s="179"/>
      <c r="HI370" s="179"/>
      <c r="HJ370" s="179"/>
      <c r="HK370" s="179"/>
      <c r="HL370" s="179"/>
      <c r="HM370" s="179"/>
      <c r="HN370" s="179"/>
      <c r="HO370" s="179"/>
      <c r="HP370" s="179"/>
      <c r="HQ370" s="179"/>
      <c r="HR370" s="179"/>
      <c r="HS370" s="179"/>
      <c r="HT370" s="179"/>
      <c r="HU370" s="179"/>
      <c r="HV370" s="179"/>
      <c r="HW370" s="179"/>
      <c r="HX370" s="179"/>
      <c r="HY370" s="179"/>
      <c r="HZ370" s="179"/>
      <c r="IA370" s="179"/>
      <c r="IB370" s="179"/>
      <c r="IC370" s="179"/>
      <c r="ID370" s="179"/>
      <c r="IE370" s="179"/>
      <c r="IF370" s="179"/>
      <c r="IG370" s="179"/>
      <c r="IH370" s="179"/>
      <c r="II370" s="179"/>
      <c r="IJ370" s="179"/>
      <c r="IK370" s="179"/>
      <c r="IL370" s="179"/>
      <c r="IM370" s="179"/>
      <c r="IN370" s="179"/>
      <c r="IO370" s="179"/>
      <c r="IP370" s="179"/>
    </row>
    <row r="371" spans="1:250">
      <c r="A371" s="218" t="s">
        <v>1602</v>
      </c>
      <c r="B371" s="193">
        <v>16365.46</v>
      </c>
      <c r="C371" s="179"/>
      <c r="D371" s="179"/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9"/>
      <c r="AA371" s="179"/>
      <c r="AB371" s="179"/>
      <c r="AC371" s="179"/>
      <c r="AD371" s="179"/>
      <c r="AE371" s="179"/>
      <c r="AF371" s="179"/>
      <c r="AG371" s="179"/>
      <c r="AH371" s="179"/>
      <c r="AI371" s="179"/>
      <c r="AJ371" s="179"/>
      <c r="AK371" s="179"/>
      <c r="AL371" s="179"/>
      <c r="AM371" s="179"/>
      <c r="AN371" s="179"/>
      <c r="AO371" s="179"/>
      <c r="AP371" s="179"/>
      <c r="AQ371" s="179"/>
      <c r="AR371" s="179"/>
      <c r="AS371" s="179"/>
      <c r="AT371" s="179"/>
      <c r="AU371" s="179"/>
      <c r="AV371" s="179"/>
      <c r="AW371" s="179"/>
      <c r="AX371" s="179"/>
      <c r="AY371" s="179"/>
      <c r="AZ371" s="179"/>
      <c r="BA371" s="179"/>
      <c r="BB371" s="179"/>
      <c r="BC371" s="179"/>
      <c r="BD371" s="179"/>
      <c r="BE371" s="179"/>
      <c r="BF371" s="179"/>
      <c r="BG371" s="179"/>
      <c r="BH371" s="179"/>
      <c r="BI371" s="179"/>
      <c r="BJ371" s="179"/>
      <c r="BK371" s="179"/>
      <c r="BL371" s="179"/>
      <c r="BM371" s="179"/>
      <c r="BN371" s="179"/>
      <c r="BO371" s="179"/>
      <c r="BP371" s="179"/>
      <c r="BQ371" s="179"/>
      <c r="BR371" s="179"/>
      <c r="BS371" s="179"/>
      <c r="BT371" s="179"/>
      <c r="BU371" s="179"/>
      <c r="BV371" s="179"/>
      <c r="BW371" s="179"/>
      <c r="BX371" s="179"/>
      <c r="BY371" s="179"/>
      <c r="BZ371" s="179"/>
      <c r="CA371" s="179"/>
      <c r="CB371" s="179"/>
      <c r="CC371" s="179"/>
      <c r="CD371" s="179"/>
      <c r="CE371" s="179"/>
      <c r="CF371" s="179"/>
      <c r="CG371" s="179"/>
      <c r="CH371" s="179"/>
      <c r="CI371" s="179"/>
      <c r="CJ371" s="179"/>
      <c r="CK371" s="179"/>
      <c r="CL371" s="179"/>
      <c r="CM371" s="179"/>
      <c r="CN371" s="179"/>
      <c r="CO371" s="179"/>
      <c r="CP371" s="179"/>
      <c r="CQ371" s="179"/>
      <c r="CR371" s="179"/>
      <c r="CS371" s="179"/>
      <c r="CT371" s="179"/>
      <c r="CU371" s="179"/>
      <c r="CV371" s="179"/>
      <c r="CW371" s="179"/>
      <c r="CX371" s="179"/>
      <c r="CY371" s="179"/>
      <c r="CZ371" s="179"/>
      <c r="DA371" s="179"/>
      <c r="DB371" s="179"/>
      <c r="DC371" s="179"/>
      <c r="DD371" s="179"/>
      <c r="DE371" s="179"/>
      <c r="DF371" s="179"/>
      <c r="DG371" s="179"/>
      <c r="DH371" s="179"/>
      <c r="DI371" s="179"/>
      <c r="DJ371" s="179"/>
      <c r="DK371" s="179"/>
      <c r="DL371" s="179"/>
      <c r="DM371" s="179"/>
      <c r="DN371" s="179"/>
      <c r="DO371" s="179"/>
      <c r="DP371" s="179"/>
      <c r="DQ371" s="179"/>
      <c r="DR371" s="179"/>
      <c r="DS371" s="179"/>
      <c r="DT371" s="179"/>
      <c r="DU371" s="179"/>
      <c r="DV371" s="179"/>
      <c r="DW371" s="179"/>
      <c r="DX371" s="179"/>
      <c r="DY371" s="179"/>
      <c r="DZ371" s="179"/>
      <c r="EA371" s="179"/>
      <c r="EB371" s="179"/>
      <c r="EC371" s="179"/>
      <c r="ED371" s="179"/>
      <c r="EE371" s="179"/>
      <c r="EF371" s="179"/>
      <c r="EG371" s="179"/>
      <c r="EH371" s="179"/>
      <c r="EI371" s="179"/>
      <c r="EJ371" s="179"/>
      <c r="EK371" s="179"/>
      <c r="EL371" s="179"/>
      <c r="EM371" s="179"/>
      <c r="EN371" s="179"/>
      <c r="EO371" s="179"/>
      <c r="EP371" s="179"/>
      <c r="EQ371" s="179"/>
      <c r="ER371" s="179"/>
      <c r="ES371" s="179"/>
      <c r="ET371" s="179"/>
      <c r="EU371" s="179"/>
      <c r="EV371" s="179"/>
      <c r="EW371" s="179"/>
      <c r="EX371" s="179"/>
      <c r="EY371" s="179"/>
      <c r="EZ371" s="179"/>
      <c r="FA371" s="179"/>
      <c r="FB371" s="179"/>
      <c r="FC371" s="179"/>
      <c r="FD371" s="179"/>
      <c r="FE371" s="179"/>
      <c r="FF371" s="179"/>
      <c r="FG371" s="179"/>
      <c r="FH371" s="179"/>
      <c r="FI371" s="179"/>
      <c r="FJ371" s="179"/>
      <c r="FK371" s="179"/>
      <c r="FL371" s="179"/>
      <c r="FM371" s="179"/>
      <c r="FN371" s="179"/>
      <c r="FO371" s="179"/>
      <c r="FP371" s="179"/>
      <c r="FQ371" s="179"/>
      <c r="FR371" s="179"/>
      <c r="FS371" s="179"/>
      <c r="FT371" s="179"/>
      <c r="FU371" s="179"/>
      <c r="FV371" s="179"/>
      <c r="FW371" s="179"/>
      <c r="FX371" s="179"/>
      <c r="FY371" s="179"/>
      <c r="FZ371" s="179"/>
      <c r="GA371" s="179"/>
      <c r="GB371" s="179"/>
      <c r="GC371" s="179"/>
      <c r="GD371" s="179"/>
      <c r="GE371" s="179"/>
      <c r="GF371" s="179"/>
      <c r="GG371" s="179"/>
      <c r="GH371" s="179"/>
      <c r="GI371" s="179"/>
      <c r="GJ371" s="179"/>
      <c r="GK371" s="179"/>
      <c r="GL371" s="179"/>
      <c r="GM371" s="179"/>
      <c r="GN371" s="179"/>
      <c r="GO371" s="179"/>
      <c r="GP371" s="179"/>
      <c r="GQ371" s="179"/>
      <c r="GR371" s="179"/>
      <c r="GS371" s="179"/>
      <c r="GT371" s="179"/>
      <c r="GU371" s="179"/>
      <c r="GV371" s="179"/>
      <c r="GW371" s="179"/>
      <c r="GX371" s="179"/>
      <c r="GY371" s="179"/>
      <c r="GZ371" s="179"/>
      <c r="HA371" s="179"/>
      <c r="HB371" s="179"/>
      <c r="HC371" s="179"/>
      <c r="HD371" s="179"/>
      <c r="HE371" s="179"/>
      <c r="HF371" s="179"/>
      <c r="HG371" s="179"/>
      <c r="HH371" s="179"/>
      <c r="HI371" s="179"/>
      <c r="HJ371" s="179"/>
      <c r="HK371" s="179"/>
      <c r="HL371" s="179"/>
      <c r="HM371" s="179"/>
      <c r="HN371" s="179"/>
      <c r="HO371" s="179"/>
      <c r="HP371" s="179"/>
      <c r="HQ371" s="179"/>
      <c r="HR371" s="179"/>
      <c r="HS371" s="179"/>
      <c r="HT371" s="179"/>
      <c r="HU371" s="179"/>
      <c r="HV371" s="179"/>
      <c r="HW371" s="179"/>
      <c r="HX371" s="179"/>
      <c r="HY371" s="179"/>
      <c r="HZ371" s="179"/>
      <c r="IA371" s="179"/>
      <c r="IB371" s="179"/>
      <c r="IC371" s="179"/>
      <c r="ID371" s="179"/>
      <c r="IE371" s="179"/>
      <c r="IF371" s="179"/>
      <c r="IG371" s="179"/>
      <c r="IH371" s="179"/>
      <c r="II371" s="179"/>
      <c r="IJ371" s="179"/>
      <c r="IK371" s="179"/>
      <c r="IL371" s="179"/>
      <c r="IM371" s="179"/>
      <c r="IN371" s="179"/>
      <c r="IO371" s="179"/>
      <c r="IP371" s="179"/>
    </row>
    <row r="372" spans="1:250">
      <c r="A372" s="218" t="s">
        <v>1598</v>
      </c>
      <c r="B372" s="193">
        <f>B369+B370+B371-B373</f>
        <v>1098764.6200000001</v>
      </c>
      <c r="C372" s="179"/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  <c r="AA372" s="179"/>
      <c r="AB372" s="179"/>
      <c r="AC372" s="179"/>
      <c r="AD372" s="179"/>
      <c r="AE372" s="179"/>
      <c r="AF372" s="179"/>
      <c r="AG372" s="179"/>
      <c r="AH372" s="179"/>
      <c r="AI372" s="179"/>
      <c r="AJ372" s="179"/>
      <c r="AK372" s="179"/>
      <c r="AL372" s="179"/>
      <c r="AM372" s="179"/>
      <c r="AN372" s="179"/>
      <c r="AO372" s="179"/>
      <c r="AP372" s="179"/>
      <c r="AQ372" s="179"/>
      <c r="AR372" s="179"/>
      <c r="AS372" s="179"/>
      <c r="AT372" s="179"/>
      <c r="AU372" s="179"/>
      <c r="AV372" s="179"/>
      <c r="AW372" s="179"/>
      <c r="AX372" s="179"/>
      <c r="AY372" s="179"/>
      <c r="AZ372" s="179"/>
      <c r="BA372" s="179"/>
      <c r="BB372" s="179"/>
      <c r="BC372" s="179"/>
      <c r="BD372" s="179"/>
      <c r="BE372" s="179"/>
      <c r="BF372" s="179"/>
      <c r="BG372" s="179"/>
      <c r="BH372" s="179"/>
      <c r="BI372" s="179"/>
      <c r="BJ372" s="179"/>
      <c r="BK372" s="179"/>
      <c r="BL372" s="179"/>
      <c r="BM372" s="179"/>
      <c r="BN372" s="179"/>
      <c r="BO372" s="179"/>
      <c r="BP372" s="179"/>
      <c r="BQ372" s="179"/>
      <c r="BR372" s="179"/>
      <c r="BS372" s="179"/>
      <c r="BT372" s="179"/>
      <c r="BU372" s="179"/>
      <c r="BV372" s="179"/>
      <c r="BW372" s="179"/>
      <c r="BX372" s="179"/>
      <c r="BY372" s="179"/>
      <c r="BZ372" s="179"/>
      <c r="CA372" s="179"/>
      <c r="CB372" s="179"/>
      <c r="CC372" s="179"/>
      <c r="CD372" s="179"/>
      <c r="CE372" s="179"/>
      <c r="CF372" s="179"/>
      <c r="CG372" s="179"/>
      <c r="CH372" s="179"/>
      <c r="CI372" s="179"/>
      <c r="CJ372" s="179"/>
      <c r="CK372" s="179"/>
      <c r="CL372" s="179"/>
      <c r="CM372" s="179"/>
      <c r="CN372" s="179"/>
      <c r="CO372" s="179"/>
      <c r="CP372" s="179"/>
      <c r="CQ372" s="179"/>
      <c r="CR372" s="179"/>
      <c r="CS372" s="179"/>
      <c r="CT372" s="179"/>
      <c r="CU372" s="179"/>
      <c r="CV372" s="179"/>
      <c r="CW372" s="179"/>
      <c r="CX372" s="179"/>
      <c r="CY372" s="179"/>
      <c r="CZ372" s="179"/>
      <c r="DA372" s="179"/>
      <c r="DB372" s="179"/>
      <c r="DC372" s="179"/>
      <c r="DD372" s="179"/>
      <c r="DE372" s="179"/>
      <c r="DF372" s="179"/>
      <c r="DG372" s="179"/>
      <c r="DH372" s="179"/>
      <c r="DI372" s="179"/>
      <c r="DJ372" s="179"/>
      <c r="DK372" s="179"/>
      <c r="DL372" s="179"/>
      <c r="DM372" s="179"/>
      <c r="DN372" s="179"/>
      <c r="DO372" s="179"/>
      <c r="DP372" s="179"/>
      <c r="DQ372" s="179"/>
      <c r="DR372" s="179"/>
      <c r="DS372" s="179"/>
      <c r="DT372" s="179"/>
      <c r="DU372" s="179"/>
      <c r="DV372" s="179"/>
      <c r="DW372" s="179"/>
      <c r="DX372" s="179"/>
      <c r="DY372" s="179"/>
      <c r="DZ372" s="179"/>
      <c r="EA372" s="179"/>
      <c r="EB372" s="179"/>
      <c r="EC372" s="179"/>
      <c r="ED372" s="179"/>
      <c r="EE372" s="179"/>
      <c r="EF372" s="179"/>
      <c r="EG372" s="179"/>
      <c r="EH372" s="179"/>
      <c r="EI372" s="179"/>
      <c r="EJ372" s="179"/>
      <c r="EK372" s="179"/>
      <c r="EL372" s="179"/>
      <c r="EM372" s="179"/>
      <c r="EN372" s="179"/>
      <c r="EO372" s="179"/>
      <c r="EP372" s="179"/>
      <c r="EQ372" s="179"/>
      <c r="ER372" s="179"/>
      <c r="ES372" s="179"/>
      <c r="ET372" s="179"/>
      <c r="EU372" s="179"/>
      <c r="EV372" s="179"/>
      <c r="EW372" s="179"/>
      <c r="EX372" s="179"/>
      <c r="EY372" s="179"/>
      <c r="EZ372" s="179"/>
      <c r="FA372" s="179"/>
      <c r="FB372" s="179"/>
      <c r="FC372" s="179"/>
      <c r="FD372" s="179"/>
      <c r="FE372" s="179"/>
      <c r="FF372" s="179"/>
      <c r="FG372" s="179"/>
      <c r="FH372" s="179"/>
      <c r="FI372" s="179"/>
      <c r="FJ372" s="179"/>
      <c r="FK372" s="179"/>
      <c r="FL372" s="179"/>
      <c r="FM372" s="179"/>
      <c r="FN372" s="179"/>
      <c r="FO372" s="179"/>
      <c r="FP372" s="179"/>
      <c r="FQ372" s="179"/>
      <c r="FR372" s="179"/>
      <c r="FS372" s="179"/>
      <c r="FT372" s="179"/>
      <c r="FU372" s="179"/>
      <c r="FV372" s="179"/>
      <c r="FW372" s="179"/>
      <c r="FX372" s="179"/>
      <c r="FY372" s="179"/>
      <c r="FZ372" s="179"/>
      <c r="GA372" s="179"/>
      <c r="GB372" s="179"/>
      <c r="GC372" s="179"/>
      <c r="GD372" s="179"/>
      <c r="GE372" s="179"/>
      <c r="GF372" s="179"/>
      <c r="GG372" s="179"/>
      <c r="GH372" s="179"/>
      <c r="GI372" s="179"/>
      <c r="GJ372" s="179"/>
      <c r="GK372" s="179"/>
      <c r="GL372" s="179"/>
      <c r="GM372" s="179"/>
      <c r="GN372" s="179"/>
      <c r="GO372" s="179"/>
      <c r="GP372" s="179"/>
      <c r="GQ372" s="179"/>
      <c r="GR372" s="179"/>
      <c r="GS372" s="179"/>
      <c r="GT372" s="179"/>
      <c r="GU372" s="179"/>
      <c r="GV372" s="179"/>
      <c r="GW372" s="179"/>
      <c r="GX372" s="179"/>
      <c r="GY372" s="179"/>
      <c r="GZ372" s="179"/>
      <c r="HA372" s="179"/>
      <c r="HB372" s="179"/>
      <c r="HC372" s="179"/>
      <c r="HD372" s="179"/>
      <c r="HE372" s="179"/>
      <c r="HF372" s="179"/>
      <c r="HG372" s="179"/>
      <c r="HH372" s="179"/>
      <c r="HI372" s="179"/>
      <c r="HJ372" s="179"/>
      <c r="HK372" s="179"/>
      <c r="HL372" s="179"/>
      <c r="HM372" s="179"/>
      <c r="HN372" s="179"/>
      <c r="HO372" s="179"/>
      <c r="HP372" s="179"/>
      <c r="HQ372" s="179"/>
      <c r="HR372" s="179"/>
      <c r="HS372" s="179"/>
      <c r="HT372" s="179"/>
      <c r="HU372" s="179"/>
      <c r="HV372" s="179"/>
      <c r="HW372" s="179"/>
      <c r="HX372" s="179"/>
      <c r="HY372" s="179"/>
      <c r="HZ372" s="179"/>
      <c r="IA372" s="179"/>
      <c r="IB372" s="179"/>
      <c r="IC372" s="179"/>
      <c r="ID372" s="179"/>
      <c r="IE372" s="179"/>
      <c r="IF372" s="179"/>
      <c r="IG372" s="179"/>
      <c r="IH372" s="179"/>
      <c r="II372" s="179"/>
      <c r="IJ372" s="179"/>
      <c r="IK372" s="179"/>
      <c r="IL372" s="179"/>
      <c r="IM372" s="179"/>
      <c r="IN372" s="179"/>
      <c r="IO372" s="179"/>
      <c r="IP372" s="179"/>
    </row>
    <row r="373" spans="1:250">
      <c r="A373" s="218" t="s">
        <v>1597</v>
      </c>
      <c r="B373" s="193">
        <v>785464.02</v>
      </c>
      <c r="C373" s="179"/>
      <c r="D373" s="179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  <c r="AA373" s="179"/>
      <c r="AB373" s="179"/>
      <c r="AC373" s="179"/>
      <c r="AD373" s="179"/>
      <c r="AE373" s="179"/>
      <c r="AF373" s="179"/>
      <c r="AG373" s="179"/>
      <c r="AH373" s="179"/>
      <c r="AI373" s="179"/>
      <c r="AJ373" s="179"/>
      <c r="AK373" s="179"/>
      <c r="AL373" s="179"/>
      <c r="AM373" s="179"/>
      <c r="AN373" s="179"/>
      <c r="AO373" s="179"/>
      <c r="AP373" s="179"/>
      <c r="AQ373" s="179"/>
      <c r="AR373" s="179"/>
      <c r="AS373" s="179"/>
      <c r="AT373" s="179"/>
      <c r="AU373" s="179"/>
      <c r="AV373" s="179"/>
      <c r="AW373" s="179"/>
      <c r="AX373" s="179"/>
      <c r="AY373" s="179"/>
      <c r="AZ373" s="179"/>
      <c r="BA373" s="179"/>
      <c r="BB373" s="179"/>
      <c r="BC373" s="179"/>
      <c r="BD373" s="179"/>
      <c r="BE373" s="179"/>
      <c r="BF373" s="179"/>
      <c r="BG373" s="179"/>
      <c r="BH373" s="179"/>
      <c r="BI373" s="179"/>
      <c r="BJ373" s="179"/>
      <c r="BK373" s="179"/>
      <c r="BL373" s="179"/>
      <c r="BM373" s="179"/>
      <c r="BN373" s="179"/>
      <c r="BO373" s="179"/>
      <c r="BP373" s="179"/>
      <c r="BQ373" s="179"/>
      <c r="BR373" s="179"/>
      <c r="BS373" s="179"/>
      <c r="BT373" s="179"/>
      <c r="BU373" s="179"/>
      <c r="BV373" s="179"/>
      <c r="BW373" s="179"/>
      <c r="BX373" s="179"/>
      <c r="BY373" s="179"/>
      <c r="BZ373" s="179"/>
      <c r="CA373" s="179"/>
      <c r="CB373" s="179"/>
      <c r="CC373" s="179"/>
      <c r="CD373" s="179"/>
      <c r="CE373" s="179"/>
      <c r="CF373" s="179"/>
      <c r="CG373" s="179"/>
      <c r="CH373" s="179"/>
      <c r="CI373" s="179"/>
      <c r="CJ373" s="179"/>
      <c r="CK373" s="179"/>
      <c r="CL373" s="179"/>
      <c r="CM373" s="179"/>
      <c r="CN373" s="179"/>
      <c r="CO373" s="179"/>
      <c r="CP373" s="179"/>
      <c r="CQ373" s="179"/>
      <c r="CR373" s="179"/>
      <c r="CS373" s="179"/>
      <c r="CT373" s="179"/>
      <c r="CU373" s="179"/>
      <c r="CV373" s="179"/>
      <c r="CW373" s="179"/>
      <c r="CX373" s="179"/>
      <c r="CY373" s="179"/>
      <c r="CZ373" s="179"/>
      <c r="DA373" s="179"/>
      <c r="DB373" s="179"/>
      <c r="DC373" s="179"/>
      <c r="DD373" s="179"/>
      <c r="DE373" s="179"/>
      <c r="DF373" s="179"/>
      <c r="DG373" s="179"/>
      <c r="DH373" s="179"/>
      <c r="DI373" s="179"/>
      <c r="DJ373" s="179"/>
      <c r="DK373" s="179"/>
      <c r="DL373" s="179"/>
      <c r="DM373" s="179"/>
      <c r="DN373" s="179"/>
      <c r="DO373" s="179"/>
      <c r="DP373" s="179"/>
      <c r="DQ373" s="179"/>
      <c r="DR373" s="179"/>
      <c r="DS373" s="179"/>
      <c r="DT373" s="179"/>
      <c r="DU373" s="179"/>
      <c r="DV373" s="179"/>
      <c r="DW373" s="179"/>
      <c r="DX373" s="179"/>
      <c r="DY373" s="179"/>
      <c r="DZ373" s="179"/>
      <c r="EA373" s="179"/>
      <c r="EB373" s="179"/>
      <c r="EC373" s="179"/>
      <c r="ED373" s="179"/>
      <c r="EE373" s="179"/>
      <c r="EF373" s="179"/>
      <c r="EG373" s="179"/>
      <c r="EH373" s="179"/>
      <c r="EI373" s="179"/>
      <c r="EJ373" s="179"/>
      <c r="EK373" s="179"/>
      <c r="EL373" s="179"/>
      <c r="EM373" s="179"/>
      <c r="EN373" s="179"/>
      <c r="EO373" s="179"/>
      <c r="EP373" s="179"/>
      <c r="EQ373" s="179"/>
      <c r="ER373" s="179"/>
      <c r="ES373" s="179"/>
      <c r="ET373" s="179"/>
      <c r="EU373" s="179"/>
      <c r="EV373" s="179"/>
      <c r="EW373" s="179"/>
      <c r="EX373" s="179"/>
      <c r="EY373" s="179"/>
      <c r="EZ373" s="179"/>
      <c r="FA373" s="179"/>
      <c r="FB373" s="179"/>
      <c r="FC373" s="179"/>
      <c r="FD373" s="179"/>
      <c r="FE373" s="179"/>
      <c r="FF373" s="179"/>
      <c r="FG373" s="179"/>
      <c r="FH373" s="179"/>
      <c r="FI373" s="179"/>
      <c r="FJ373" s="179"/>
      <c r="FK373" s="179"/>
      <c r="FL373" s="179"/>
      <c r="FM373" s="179"/>
      <c r="FN373" s="179"/>
      <c r="FO373" s="179"/>
      <c r="FP373" s="179"/>
      <c r="FQ373" s="179"/>
      <c r="FR373" s="179"/>
      <c r="FS373" s="179"/>
      <c r="FT373" s="179"/>
      <c r="FU373" s="179"/>
      <c r="FV373" s="179"/>
      <c r="FW373" s="179"/>
      <c r="FX373" s="179"/>
      <c r="FY373" s="179"/>
      <c r="FZ373" s="179"/>
      <c r="GA373" s="179"/>
      <c r="GB373" s="179"/>
      <c r="GC373" s="179"/>
      <c r="GD373" s="179"/>
      <c r="GE373" s="179"/>
      <c r="GF373" s="179"/>
      <c r="GG373" s="179"/>
      <c r="GH373" s="179"/>
      <c r="GI373" s="179"/>
      <c r="GJ373" s="179"/>
      <c r="GK373" s="179"/>
      <c r="GL373" s="179"/>
      <c r="GM373" s="179"/>
      <c r="GN373" s="179"/>
      <c r="GO373" s="179"/>
      <c r="GP373" s="179"/>
      <c r="GQ373" s="179"/>
      <c r="GR373" s="179"/>
      <c r="GS373" s="179"/>
      <c r="GT373" s="179"/>
      <c r="GU373" s="179"/>
      <c r="GV373" s="179"/>
      <c r="GW373" s="179"/>
      <c r="GX373" s="179"/>
      <c r="GY373" s="179"/>
      <c r="GZ373" s="179"/>
      <c r="HA373" s="179"/>
      <c r="HB373" s="179"/>
      <c r="HC373" s="179"/>
      <c r="HD373" s="179"/>
      <c r="HE373" s="179"/>
      <c r="HF373" s="179"/>
      <c r="HG373" s="179"/>
      <c r="HH373" s="179"/>
      <c r="HI373" s="179"/>
      <c r="HJ373" s="179"/>
      <c r="HK373" s="179"/>
      <c r="HL373" s="179"/>
      <c r="HM373" s="179"/>
      <c r="HN373" s="179"/>
      <c r="HO373" s="179"/>
      <c r="HP373" s="179"/>
      <c r="HQ373" s="179"/>
      <c r="HR373" s="179"/>
      <c r="HS373" s="179"/>
      <c r="HT373" s="179"/>
      <c r="HU373" s="179"/>
      <c r="HV373" s="179"/>
      <c r="HW373" s="179"/>
      <c r="HX373" s="179"/>
      <c r="HY373" s="179"/>
      <c r="HZ373" s="179"/>
      <c r="IA373" s="179"/>
      <c r="IB373" s="179"/>
      <c r="IC373" s="179"/>
      <c r="ID373" s="179"/>
      <c r="IE373" s="179"/>
      <c r="IF373" s="179"/>
      <c r="IG373" s="179"/>
      <c r="IH373" s="179"/>
      <c r="II373" s="179"/>
      <c r="IJ373" s="179"/>
      <c r="IK373" s="179"/>
      <c r="IL373" s="179"/>
      <c r="IM373" s="179"/>
      <c r="IN373" s="179"/>
      <c r="IO373" s="179"/>
      <c r="IP373" s="179"/>
    </row>
    <row r="374" spans="1:250" ht="29.25" customHeight="1">
      <c r="A374" s="216" t="s">
        <v>2025</v>
      </c>
      <c r="B374" s="196">
        <f>B372</f>
        <v>1098764.6200000001</v>
      </c>
      <c r="C374" s="179"/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  <c r="AB374" s="179"/>
      <c r="AC374" s="179"/>
      <c r="AD374" s="179"/>
      <c r="AE374" s="179"/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79"/>
      <c r="AP374" s="179"/>
      <c r="AQ374" s="179"/>
      <c r="AR374" s="179"/>
      <c r="AS374" s="179"/>
      <c r="AT374" s="179"/>
      <c r="AU374" s="179"/>
      <c r="AV374" s="179"/>
      <c r="AW374" s="179"/>
      <c r="AX374" s="179"/>
      <c r="AY374" s="179"/>
      <c r="AZ374" s="179"/>
      <c r="BA374" s="179"/>
      <c r="BB374" s="179"/>
      <c r="BC374" s="179"/>
      <c r="BD374" s="179"/>
      <c r="BE374" s="179"/>
      <c r="BF374" s="179"/>
      <c r="BG374" s="179"/>
      <c r="BH374" s="179"/>
      <c r="BI374" s="179"/>
      <c r="BJ374" s="179"/>
      <c r="BK374" s="179"/>
      <c r="BL374" s="179"/>
      <c r="BM374" s="179"/>
      <c r="BN374" s="179"/>
      <c r="BO374" s="179"/>
      <c r="BP374" s="179"/>
      <c r="BQ374" s="179"/>
      <c r="BR374" s="179"/>
      <c r="BS374" s="179"/>
      <c r="BT374" s="179"/>
      <c r="BU374" s="179"/>
      <c r="BV374" s="179"/>
      <c r="BW374" s="179"/>
      <c r="BX374" s="179"/>
      <c r="BY374" s="179"/>
      <c r="BZ374" s="179"/>
      <c r="CA374" s="179"/>
      <c r="CB374" s="179"/>
      <c r="CC374" s="179"/>
      <c r="CD374" s="179"/>
      <c r="CE374" s="179"/>
      <c r="CF374" s="179"/>
      <c r="CG374" s="179"/>
      <c r="CH374" s="179"/>
      <c r="CI374" s="179"/>
      <c r="CJ374" s="179"/>
      <c r="CK374" s="179"/>
      <c r="CL374" s="179"/>
      <c r="CM374" s="179"/>
      <c r="CN374" s="179"/>
      <c r="CO374" s="179"/>
      <c r="CP374" s="179"/>
      <c r="CQ374" s="179"/>
      <c r="CR374" s="179"/>
      <c r="CS374" s="179"/>
      <c r="CT374" s="179"/>
      <c r="CU374" s="179"/>
      <c r="CV374" s="179"/>
      <c r="CW374" s="179"/>
      <c r="CX374" s="179"/>
      <c r="CY374" s="179"/>
      <c r="CZ374" s="179"/>
      <c r="DA374" s="179"/>
      <c r="DB374" s="179"/>
      <c r="DC374" s="179"/>
      <c r="DD374" s="179"/>
      <c r="DE374" s="179"/>
      <c r="DF374" s="179"/>
      <c r="DG374" s="179"/>
      <c r="DH374" s="179"/>
      <c r="DI374" s="179"/>
      <c r="DJ374" s="179"/>
      <c r="DK374" s="179"/>
      <c r="DL374" s="179"/>
      <c r="DM374" s="179"/>
      <c r="DN374" s="179"/>
      <c r="DO374" s="179"/>
      <c r="DP374" s="179"/>
      <c r="DQ374" s="179"/>
      <c r="DR374" s="179"/>
      <c r="DS374" s="179"/>
      <c r="DT374" s="179"/>
      <c r="DU374" s="179"/>
      <c r="DV374" s="179"/>
      <c r="DW374" s="179"/>
      <c r="DX374" s="179"/>
      <c r="DY374" s="179"/>
      <c r="DZ374" s="179"/>
      <c r="EA374" s="179"/>
      <c r="EB374" s="179"/>
      <c r="EC374" s="179"/>
      <c r="ED374" s="179"/>
      <c r="EE374" s="179"/>
      <c r="EF374" s="179"/>
      <c r="EG374" s="179"/>
      <c r="EH374" s="179"/>
      <c r="EI374" s="179"/>
      <c r="EJ374" s="179"/>
      <c r="EK374" s="179"/>
      <c r="EL374" s="179"/>
      <c r="EM374" s="179"/>
      <c r="EN374" s="179"/>
      <c r="EO374" s="179"/>
      <c r="EP374" s="179"/>
      <c r="EQ374" s="179"/>
      <c r="ER374" s="179"/>
      <c r="ES374" s="179"/>
      <c r="ET374" s="179"/>
      <c r="EU374" s="179"/>
      <c r="EV374" s="179"/>
      <c r="EW374" s="179"/>
      <c r="EX374" s="179"/>
      <c r="EY374" s="179"/>
      <c r="EZ374" s="179"/>
      <c r="FA374" s="179"/>
      <c r="FB374" s="179"/>
      <c r="FC374" s="179"/>
      <c r="FD374" s="179"/>
      <c r="FE374" s="179"/>
      <c r="FF374" s="179"/>
      <c r="FG374" s="179"/>
      <c r="FH374" s="179"/>
      <c r="FI374" s="179"/>
      <c r="FJ374" s="179"/>
      <c r="FK374" s="179"/>
      <c r="FL374" s="179"/>
      <c r="FM374" s="179"/>
      <c r="FN374" s="179"/>
      <c r="FO374" s="179"/>
      <c r="FP374" s="179"/>
      <c r="FQ374" s="179"/>
      <c r="FR374" s="179"/>
      <c r="FS374" s="179"/>
      <c r="FT374" s="179"/>
      <c r="FU374" s="179"/>
      <c r="FV374" s="179"/>
      <c r="FW374" s="179"/>
      <c r="FX374" s="179"/>
      <c r="FY374" s="179"/>
      <c r="FZ374" s="179"/>
      <c r="GA374" s="179"/>
      <c r="GB374" s="179"/>
      <c r="GC374" s="179"/>
      <c r="GD374" s="179"/>
      <c r="GE374" s="179"/>
      <c r="GF374" s="179"/>
      <c r="GG374" s="179"/>
      <c r="GH374" s="179"/>
      <c r="GI374" s="179"/>
      <c r="GJ374" s="179"/>
      <c r="GK374" s="179"/>
      <c r="GL374" s="179"/>
      <c r="GM374" s="179"/>
      <c r="GN374" s="179"/>
      <c r="GO374" s="179"/>
      <c r="GP374" s="179"/>
      <c r="GQ374" s="179"/>
      <c r="GR374" s="179"/>
      <c r="GS374" s="179"/>
      <c r="GT374" s="179"/>
      <c r="GU374" s="179"/>
      <c r="GV374" s="179"/>
      <c r="GW374" s="179"/>
      <c r="GX374" s="179"/>
      <c r="GY374" s="179"/>
      <c r="GZ374" s="179"/>
      <c r="HA374" s="179"/>
      <c r="HB374" s="179"/>
      <c r="HC374" s="179"/>
      <c r="HD374" s="179"/>
      <c r="HE374" s="179"/>
      <c r="HF374" s="179"/>
      <c r="HG374" s="179"/>
      <c r="HH374" s="179"/>
      <c r="HI374" s="179"/>
      <c r="HJ374" s="179"/>
      <c r="HK374" s="179"/>
      <c r="HL374" s="179"/>
      <c r="HM374" s="179"/>
      <c r="HN374" s="179"/>
      <c r="HO374" s="179"/>
      <c r="HP374" s="179"/>
      <c r="HQ374" s="179"/>
      <c r="HR374" s="179"/>
      <c r="HS374" s="179"/>
      <c r="HT374" s="179"/>
      <c r="HU374" s="179"/>
      <c r="HV374" s="179"/>
      <c r="HW374" s="179"/>
      <c r="HX374" s="179"/>
      <c r="HY374" s="179"/>
      <c r="HZ374" s="179"/>
      <c r="IA374" s="179"/>
      <c r="IB374" s="179"/>
      <c r="IC374" s="179"/>
      <c r="ID374" s="179"/>
      <c r="IE374" s="179"/>
      <c r="IF374" s="179"/>
      <c r="IG374" s="179"/>
      <c r="IH374" s="179"/>
      <c r="II374" s="179"/>
      <c r="IJ374" s="179"/>
      <c r="IK374" s="179"/>
      <c r="IL374" s="179"/>
      <c r="IM374" s="179"/>
      <c r="IN374" s="179"/>
      <c r="IO374" s="179"/>
      <c r="IP374" s="179"/>
    </row>
    <row r="375" spans="1:250">
      <c r="A375" s="179"/>
      <c r="B375" s="213"/>
      <c r="C375" s="179"/>
      <c r="D375" s="179"/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  <c r="AA375" s="179"/>
      <c r="AB375" s="179"/>
      <c r="AC375" s="179"/>
      <c r="AD375" s="179"/>
      <c r="AE375" s="179"/>
      <c r="AF375" s="179"/>
      <c r="AG375" s="179"/>
      <c r="AH375" s="179"/>
      <c r="AI375" s="179"/>
      <c r="AJ375" s="179"/>
      <c r="AK375" s="179"/>
      <c r="AL375" s="179"/>
      <c r="AM375" s="179"/>
      <c r="AN375" s="179"/>
      <c r="AO375" s="179"/>
      <c r="AP375" s="179"/>
      <c r="AQ375" s="179"/>
      <c r="AR375" s="179"/>
      <c r="AS375" s="179"/>
      <c r="AT375" s="179"/>
      <c r="AU375" s="179"/>
      <c r="AV375" s="179"/>
      <c r="AW375" s="179"/>
      <c r="AX375" s="179"/>
      <c r="AY375" s="179"/>
      <c r="AZ375" s="179"/>
      <c r="BA375" s="179"/>
      <c r="BB375" s="179"/>
      <c r="BC375" s="179"/>
      <c r="BD375" s="179"/>
      <c r="BE375" s="179"/>
      <c r="BF375" s="179"/>
      <c r="BG375" s="179"/>
      <c r="BH375" s="179"/>
      <c r="BI375" s="179"/>
      <c r="BJ375" s="179"/>
      <c r="BK375" s="179"/>
      <c r="BL375" s="179"/>
      <c r="BM375" s="179"/>
      <c r="BN375" s="179"/>
      <c r="BO375" s="179"/>
      <c r="BP375" s="179"/>
      <c r="BQ375" s="179"/>
      <c r="BR375" s="179"/>
      <c r="BS375" s="179"/>
      <c r="BT375" s="179"/>
      <c r="BU375" s="179"/>
      <c r="BV375" s="179"/>
      <c r="BW375" s="179"/>
      <c r="BX375" s="179"/>
      <c r="BY375" s="179"/>
      <c r="BZ375" s="179"/>
      <c r="CA375" s="179"/>
      <c r="CB375" s="179"/>
      <c r="CC375" s="179"/>
      <c r="CD375" s="179"/>
      <c r="CE375" s="179"/>
      <c r="CF375" s="179"/>
      <c r="CG375" s="179"/>
      <c r="CH375" s="179"/>
      <c r="CI375" s="179"/>
      <c r="CJ375" s="179"/>
      <c r="CK375" s="179"/>
      <c r="CL375" s="179"/>
      <c r="CM375" s="179"/>
      <c r="CN375" s="179"/>
      <c r="CO375" s="179"/>
      <c r="CP375" s="179"/>
      <c r="CQ375" s="179"/>
      <c r="CR375" s="179"/>
      <c r="CS375" s="179"/>
      <c r="CT375" s="179"/>
      <c r="CU375" s="179"/>
      <c r="CV375" s="179"/>
      <c r="CW375" s="179"/>
      <c r="CX375" s="179"/>
      <c r="CY375" s="179"/>
      <c r="CZ375" s="179"/>
      <c r="DA375" s="179"/>
      <c r="DB375" s="179"/>
      <c r="DC375" s="179"/>
      <c r="DD375" s="179"/>
      <c r="DE375" s="179"/>
      <c r="DF375" s="179"/>
      <c r="DG375" s="179"/>
      <c r="DH375" s="179"/>
      <c r="DI375" s="179"/>
      <c r="DJ375" s="179"/>
      <c r="DK375" s="179"/>
      <c r="DL375" s="179"/>
      <c r="DM375" s="179"/>
      <c r="DN375" s="179"/>
      <c r="DO375" s="179"/>
      <c r="DP375" s="179"/>
      <c r="DQ375" s="179"/>
      <c r="DR375" s="179"/>
      <c r="DS375" s="179"/>
      <c r="DT375" s="179"/>
      <c r="DU375" s="179"/>
      <c r="DV375" s="179"/>
      <c r="DW375" s="179"/>
      <c r="DX375" s="179"/>
      <c r="DY375" s="179"/>
      <c r="DZ375" s="179"/>
      <c r="EA375" s="179"/>
      <c r="EB375" s="179"/>
      <c r="EC375" s="179"/>
      <c r="ED375" s="179"/>
      <c r="EE375" s="179"/>
      <c r="EF375" s="179"/>
      <c r="EG375" s="179"/>
      <c r="EH375" s="179"/>
      <c r="EI375" s="179"/>
      <c r="EJ375" s="179"/>
      <c r="EK375" s="179"/>
      <c r="EL375" s="179"/>
      <c r="EM375" s="179"/>
      <c r="EN375" s="179"/>
      <c r="EO375" s="179"/>
      <c r="EP375" s="179"/>
      <c r="EQ375" s="179"/>
      <c r="ER375" s="179"/>
      <c r="ES375" s="179"/>
      <c r="ET375" s="179"/>
      <c r="EU375" s="179"/>
      <c r="EV375" s="179"/>
      <c r="EW375" s="179"/>
      <c r="EX375" s="179"/>
      <c r="EY375" s="179"/>
      <c r="EZ375" s="179"/>
      <c r="FA375" s="179"/>
      <c r="FB375" s="179"/>
      <c r="FC375" s="179"/>
      <c r="FD375" s="179"/>
      <c r="FE375" s="179"/>
      <c r="FF375" s="179"/>
      <c r="FG375" s="179"/>
      <c r="FH375" s="179"/>
      <c r="FI375" s="179"/>
      <c r="FJ375" s="179"/>
      <c r="FK375" s="179"/>
      <c r="FL375" s="179"/>
      <c r="FM375" s="179"/>
      <c r="FN375" s="179"/>
      <c r="FO375" s="179"/>
      <c r="FP375" s="179"/>
      <c r="FQ375" s="179"/>
      <c r="FR375" s="179"/>
      <c r="FS375" s="179"/>
      <c r="FT375" s="179"/>
      <c r="FU375" s="179"/>
      <c r="FV375" s="179"/>
      <c r="FW375" s="179"/>
      <c r="FX375" s="179"/>
      <c r="FY375" s="179"/>
      <c r="FZ375" s="179"/>
      <c r="GA375" s="179"/>
      <c r="GB375" s="179"/>
      <c r="GC375" s="179"/>
      <c r="GD375" s="179"/>
      <c r="GE375" s="179"/>
      <c r="GF375" s="179"/>
      <c r="GG375" s="179"/>
      <c r="GH375" s="179"/>
      <c r="GI375" s="179"/>
      <c r="GJ375" s="179"/>
      <c r="GK375" s="179"/>
      <c r="GL375" s="179"/>
      <c r="GM375" s="179"/>
      <c r="GN375" s="179"/>
      <c r="GO375" s="179"/>
      <c r="GP375" s="179"/>
      <c r="GQ375" s="179"/>
      <c r="GR375" s="179"/>
      <c r="GS375" s="179"/>
      <c r="GT375" s="179"/>
      <c r="GU375" s="179"/>
      <c r="GV375" s="179"/>
      <c r="GW375" s="179"/>
      <c r="GX375" s="179"/>
      <c r="GY375" s="179"/>
      <c r="GZ375" s="179"/>
      <c r="HA375" s="179"/>
      <c r="HB375" s="179"/>
      <c r="HC375" s="179"/>
      <c r="HD375" s="179"/>
      <c r="HE375" s="179"/>
      <c r="HF375" s="179"/>
      <c r="HG375" s="179"/>
      <c r="HH375" s="179"/>
      <c r="HI375" s="179"/>
      <c r="HJ375" s="179"/>
      <c r="HK375" s="179"/>
      <c r="HL375" s="179"/>
      <c r="HM375" s="179"/>
      <c r="HN375" s="179"/>
      <c r="HO375" s="179"/>
      <c r="HP375" s="179"/>
      <c r="HQ375" s="179"/>
      <c r="HR375" s="179"/>
      <c r="HS375" s="179"/>
      <c r="HT375" s="179"/>
      <c r="HU375" s="179"/>
      <c r="HV375" s="179"/>
      <c r="HW375" s="179"/>
      <c r="HX375" s="179"/>
      <c r="HY375" s="179"/>
      <c r="HZ375" s="179"/>
      <c r="IA375" s="179"/>
      <c r="IB375" s="179"/>
      <c r="IC375" s="179"/>
      <c r="ID375" s="179"/>
      <c r="IE375" s="179"/>
      <c r="IF375" s="179"/>
      <c r="IG375" s="179"/>
      <c r="IH375" s="179"/>
      <c r="II375" s="179"/>
      <c r="IJ375" s="179"/>
      <c r="IK375" s="179"/>
      <c r="IL375" s="179"/>
      <c r="IM375" s="179"/>
      <c r="IN375" s="179"/>
      <c r="IO375" s="179"/>
      <c r="IP375" s="179"/>
    </row>
    <row r="376" spans="1:250">
      <c r="A376" s="324" t="s">
        <v>1600</v>
      </c>
      <c r="B376" s="198">
        <f>B378+B380+B381+B382+B384+B386+B385+B379</f>
        <v>1350930.5333125442</v>
      </c>
      <c r="C376" s="179"/>
      <c r="D376" s="179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79"/>
      <c r="AT376" s="179"/>
      <c r="AU376" s="179"/>
      <c r="AV376" s="179"/>
      <c r="AW376" s="179"/>
      <c r="AX376" s="179"/>
      <c r="AY376" s="179"/>
      <c r="AZ376" s="179"/>
      <c r="BA376" s="179"/>
      <c r="BB376" s="179"/>
      <c r="BC376" s="179"/>
      <c r="BD376" s="179"/>
      <c r="BE376" s="179"/>
      <c r="BF376" s="179"/>
      <c r="BG376" s="179"/>
      <c r="BH376" s="179"/>
      <c r="BI376" s="179"/>
      <c r="BJ376" s="179"/>
      <c r="BK376" s="179"/>
      <c r="BL376" s="179"/>
      <c r="BM376" s="179"/>
      <c r="BN376" s="179"/>
      <c r="BO376" s="179"/>
      <c r="BP376" s="179"/>
      <c r="BQ376" s="179"/>
      <c r="BR376" s="179"/>
      <c r="BS376" s="179"/>
      <c r="BT376" s="179"/>
      <c r="BU376" s="179"/>
      <c r="BV376" s="179"/>
      <c r="BW376" s="179"/>
      <c r="BX376" s="179"/>
      <c r="BY376" s="179"/>
      <c r="BZ376" s="179"/>
      <c r="CA376" s="179"/>
      <c r="CB376" s="179"/>
      <c r="CC376" s="179"/>
      <c r="CD376" s="179"/>
      <c r="CE376" s="179"/>
      <c r="CF376" s="179"/>
      <c r="CG376" s="179"/>
      <c r="CH376" s="179"/>
      <c r="CI376" s="179"/>
      <c r="CJ376" s="179"/>
      <c r="CK376" s="179"/>
      <c r="CL376" s="179"/>
      <c r="CM376" s="179"/>
      <c r="CN376" s="179"/>
      <c r="CO376" s="179"/>
      <c r="CP376" s="179"/>
      <c r="CQ376" s="179"/>
      <c r="CR376" s="179"/>
      <c r="CS376" s="179"/>
      <c r="CT376" s="179"/>
      <c r="CU376" s="179"/>
      <c r="CV376" s="179"/>
      <c r="CW376" s="179"/>
      <c r="CX376" s="179"/>
      <c r="CY376" s="179"/>
      <c r="CZ376" s="179"/>
      <c r="DA376" s="179"/>
      <c r="DB376" s="179"/>
      <c r="DC376" s="179"/>
      <c r="DD376" s="179"/>
      <c r="DE376" s="179"/>
      <c r="DF376" s="179"/>
      <c r="DG376" s="179"/>
      <c r="DH376" s="179"/>
      <c r="DI376" s="179"/>
      <c r="DJ376" s="179"/>
      <c r="DK376" s="179"/>
      <c r="DL376" s="179"/>
      <c r="DM376" s="179"/>
      <c r="DN376" s="179"/>
      <c r="DO376" s="179"/>
      <c r="DP376" s="179"/>
      <c r="DQ376" s="179"/>
      <c r="DR376" s="179"/>
      <c r="DS376" s="179"/>
      <c r="DT376" s="179"/>
      <c r="DU376" s="179"/>
      <c r="DV376" s="179"/>
      <c r="DW376" s="179"/>
      <c r="DX376" s="179"/>
      <c r="DY376" s="179"/>
      <c r="DZ376" s="179"/>
      <c r="EA376" s="179"/>
      <c r="EB376" s="179"/>
      <c r="EC376" s="179"/>
      <c r="ED376" s="179"/>
      <c r="EE376" s="179"/>
      <c r="EF376" s="179"/>
      <c r="EG376" s="179"/>
      <c r="EH376" s="179"/>
      <c r="EI376" s="179"/>
      <c r="EJ376" s="179"/>
      <c r="EK376" s="179"/>
      <c r="EL376" s="179"/>
      <c r="EM376" s="179"/>
      <c r="EN376" s="179"/>
      <c r="EO376" s="179"/>
      <c r="EP376" s="179"/>
      <c r="EQ376" s="179"/>
      <c r="ER376" s="179"/>
      <c r="ES376" s="179"/>
      <c r="ET376" s="179"/>
      <c r="EU376" s="179"/>
      <c r="EV376" s="179"/>
      <c r="EW376" s="179"/>
      <c r="EX376" s="179"/>
      <c r="EY376" s="179"/>
      <c r="EZ376" s="179"/>
      <c r="FA376" s="179"/>
      <c r="FB376" s="179"/>
      <c r="FC376" s="179"/>
      <c r="FD376" s="179"/>
      <c r="FE376" s="179"/>
      <c r="FF376" s="179"/>
      <c r="FG376" s="179"/>
      <c r="FH376" s="179"/>
      <c r="FI376" s="179"/>
      <c r="FJ376" s="179"/>
      <c r="FK376" s="179"/>
      <c r="FL376" s="179"/>
      <c r="FM376" s="179"/>
      <c r="FN376" s="179"/>
      <c r="FO376" s="179"/>
      <c r="FP376" s="179"/>
      <c r="FQ376" s="179"/>
      <c r="FR376" s="179"/>
      <c r="FS376" s="179"/>
      <c r="FT376" s="179"/>
      <c r="FU376" s="179"/>
      <c r="FV376" s="179"/>
      <c r="FW376" s="179"/>
      <c r="FX376" s="179"/>
      <c r="FY376" s="179"/>
      <c r="FZ376" s="179"/>
      <c r="GA376" s="179"/>
      <c r="GB376" s="179"/>
      <c r="GC376" s="179"/>
      <c r="GD376" s="179"/>
      <c r="GE376" s="179"/>
      <c r="GF376" s="179"/>
      <c r="GG376" s="179"/>
      <c r="GH376" s="179"/>
      <c r="GI376" s="179"/>
      <c r="GJ376" s="179"/>
      <c r="GK376" s="179"/>
      <c r="GL376" s="179"/>
      <c r="GM376" s="179"/>
      <c r="GN376" s="179"/>
      <c r="GO376" s="179"/>
      <c r="GP376" s="179"/>
      <c r="GQ376" s="179"/>
      <c r="GR376" s="179"/>
      <c r="GS376" s="179"/>
      <c r="GT376" s="179"/>
      <c r="GU376" s="179"/>
      <c r="GV376" s="179"/>
      <c r="GW376" s="179"/>
      <c r="GX376" s="179"/>
      <c r="GY376" s="179"/>
      <c r="GZ376" s="179"/>
      <c r="HA376" s="179"/>
      <c r="HB376" s="179"/>
      <c r="HC376" s="179"/>
      <c r="HD376" s="179"/>
      <c r="HE376" s="179"/>
      <c r="HF376" s="179"/>
      <c r="HG376" s="179"/>
      <c r="HH376" s="179"/>
      <c r="HI376" s="179"/>
      <c r="HJ376" s="179"/>
      <c r="HK376" s="179"/>
      <c r="HL376" s="179"/>
      <c r="HM376" s="179"/>
      <c r="HN376" s="179"/>
      <c r="HO376" s="179"/>
      <c r="HP376" s="179"/>
      <c r="HQ376" s="179"/>
      <c r="HR376" s="179"/>
      <c r="HS376" s="179"/>
      <c r="HT376" s="179"/>
      <c r="HU376" s="179"/>
      <c r="HV376" s="179"/>
      <c r="HW376" s="179"/>
      <c r="HX376" s="179"/>
      <c r="HY376" s="179"/>
      <c r="HZ376" s="179"/>
      <c r="IA376" s="179"/>
      <c r="IB376" s="179"/>
      <c r="IC376" s="179"/>
      <c r="ID376" s="179"/>
      <c r="IE376" s="179"/>
      <c r="IF376" s="179"/>
      <c r="IG376" s="179"/>
      <c r="IH376" s="179"/>
      <c r="II376" s="179"/>
      <c r="IJ376" s="179"/>
      <c r="IK376" s="179"/>
      <c r="IL376" s="179"/>
      <c r="IM376" s="179"/>
      <c r="IN376" s="179"/>
      <c r="IO376" s="179"/>
      <c r="IP376" s="179"/>
    </row>
    <row r="377" spans="1:250">
      <c r="A377" s="325" t="s">
        <v>599</v>
      </c>
      <c r="B377" s="213"/>
      <c r="C377" s="179"/>
      <c r="D377" s="17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  <c r="AA377" s="179"/>
      <c r="AB377" s="179"/>
      <c r="AC377" s="179"/>
      <c r="AD377" s="179"/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179"/>
      <c r="AT377" s="179"/>
      <c r="AU377" s="179"/>
      <c r="AV377" s="179"/>
      <c r="AW377" s="179"/>
      <c r="AX377" s="179"/>
      <c r="AY377" s="179"/>
      <c r="AZ377" s="179"/>
      <c r="BA377" s="179"/>
      <c r="BB377" s="179"/>
      <c r="BC377" s="179"/>
      <c r="BD377" s="179"/>
      <c r="BE377" s="179"/>
      <c r="BF377" s="179"/>
      <c r="BG377" s="179"/>
      <c r="BH377" s="179"/>
      <c r="BI377" s="179"/>
      <c r="BJ377" s="179"/>
      <c r="BK377" s="179"/>
      <c r="BL377" s="179"/>
      <c r="BM377" s="179"/>
      <c r="BN377" s="179"/>
      <c r="BO377" s="179"/>
      <c r="BP377" s="179"/>
      <c r="BQ377" s="179"/>
      <c r="BR377" s="179"/>
      <c r="BS377" s="179"/>
      <c r="BT377" s="179"/>
      <c r="BU377" s="179"/>
      <c r="BV377" s="179"/>
      <c r="BW377" s="179"/>
      <c r="BX377" s="179"/>
      <c r="BY377" s="179"/>
      <c r="BZ377" s="179"/>
      <c r="CA377" s="179"/>
      <c r="CB377" s="179"/>
      <c r="CC377" s="179"/>
      <c r="CD377" s="179"/>
      <c r="CE377" s="179"/>
      <c r="CF377" s="179"/>
      <c r="CG377" s="179"/>
      <c r="CH377" s="179"/>
      <c r="CI377" s="179"/>
      <c r="CJ377" s="179"/>
      <c r="CK377" s="179"/>
      <c r="CL377" s="179"/>
      <c r="CM377" s="179"/>
      <c r="CN377" s="179"/>
      <c r="CO377" s="179"/>
      <c r="CP377" s="179"/>
      <c r="CQ377" s="179"/>
      <c r="CR377" s="179"/>
      <c r="CS377" s="179"/>
      <c r="CT377" s="179"/>
      <c r="CU377" s="179"/>
      <c r="CV377" s="179"/>
      <c r="CW377" s="179"/>
      <c r="CX377" s="179"/>
      <c r="CY377" s="179"/>
      <c r="CZ377" s="179"/>
      <c r="DA377" s="179"/>
      <c r="DB377" s="179"/>
      <c r="DC377" s="179"/>
      <c r="DD377" s="179"/>
      <c r="DE377" s="179"/>
      <c r="DF377" s="179"/>
      <c r="DG377" s="179"/>
      <c r="DH377" s="179"/>
      <c r="DI377" s="179"/>
      <c r="DJ377" s="179"/>
      <c r="DK377" s="179"/>
      <c r="DL377" s="179"/>
      <c r="DM377" s="179"/>
      <c r="DN377" s="179"/>
      <c r="DO377" s="179"/>
      <c r="DP377" s="179"/>
      <c r="DQ377" s="179"/>
      <c r="DR377" s="179"/>
      <c r="DS377" s="179"/>
      <c r="DT377" s="179"/>
      <c r="DU377" s="179"/>
      <c r="DV377" s="179"/>
      <c r="DW377" s="179"/>
      <c r="DX377" s="179"/>
      <c r="DY377" s="179"/>
      <c r="DZ377" s="179"/>
      <c r="EA377" s="179"/>
      <c r="EB377" s="179"/>
      <c r="EC377" s="179"/>
      <c r="ED377" s="179"/>
      <c r="EE377" s="179"/>
      <c r="EF377" s="179"/>
      <c r="EG377" s="179"/>
      <c r="EH377" s="179"/>
      <c r="EI377" s="179"/>
      <c r="EJ377" s="179"/>
      <c r="EK377" s="179"/>
      <c r="EL377" s="179"/>
      <c r="EM377" s="179"/>
      <c r="EN377" s="179"/>
      <c r="EO377" s="179"/>
      <c r="EP377" s="179"/>
      <c r="EQ377" s="179"/>
      <c r="ER377" s="179"/>
      <c r="ES377" s="179"/>
      <c r="ET377" s="179"/>
      <c r="EU377" s="179"/>
      <c r="EV377" s="179"/>
      <c r="EW377" s="179"/>
      <c r="EX377" s="179"/>
      <c r="EY377" s="179"/>
      <c r="EZ377" s="179"/>
      <c r="FA377" s="179"/>
      <c r="FB377" s="179"/>
      <c r="FC377" s="179"/>
      <c r="FD377" s="179"/>
      <c r="FE377" s="179"/>
      <c r="FF377" s="179"/>
      <c r="FG377" s="179"/>
      <c r="FH377" s="179"/>
      <c r="FI377" s="179"/>
      <c r="FJ377" s="179"/>
      <c r="FK377" s="179"/>
      <c r="FL377" s="179"/>
      <c r="FM377" s="179"/>
      <c r="FN377" s="179"/>
      <c r="FO377" s="179"/>
      <c r="FP377" s="179"/>
      <c r="FQ377" s="179"/>
      <c r="FR377" s="179"/>
      <c r="FS377" s="179"/>
      <c r="FT377" s="179"/>
      <c r="FU377" s="179"/>
      <c r="FV377" s="179"/>
      <c r="FW377" s="179"/>
      <c r="FX377" s="179"/>
      <c r="FY377" s="179"/>
      <c r="FZ377" s="179"/>
      <c r="GA377" s="179"/>
      <c r="GB377" s="179"/>
      <c r="GC377" s="179"/>
      <c r="GD377" s="179"/>
      <c r="GE377" s="179"/>
      <c r="GF377" s="179"/>
      <c r="GG377" s="179"/>
      <c r="GH377" s="179"/>
      <c r="GI377" s="179"/>
      <c r="GJ377" s="179"/>
      <c r="GK377" s="179"/>
      <c r="GL377" s="179"/>
      <c r="GM377" s="179"/>
      <c r="GN377" s="179"/>
      <c r="GO377" s="179"/>
      <c r="GP377" s="179"/>
      <c r="GQ377" s="179"/>
      <c r="GR377" s="179"/>
      <c r="GS377" s="179"/>
      <c r="GT377" s="179"/>
      <c r="GU377" s="179"/>
      <c r="GV377" s="179"/>
      <c r="GW377" s="179"/>
      <c r="GX377" s="179"/>
      <c r="GY377" s="179"/>
      <c r="GZ377" s="179"/>
      <c r="HA377" s="179"/>
      <c r="HB377" s="179"/>
      <c r="HC377" s="179"/>
      <c r="HD377" s="179"/>
      <c r="HE377" s="179"/>
      <c r="HF377" s="179"/>
      <c r="HG377" s="179"/>
      <c r="HH377" s="179"/>
      <c r="HI377" s="179"/>
      <c r="HJ377" s="179"/>
      <c r="HK377" s="179"/>
      <c r="HL377" s="179"/>
      <c r="HM377" s="179"/>
      <c r="HN377" s="179"/>
      <c r="HO377" s="179"/>
      <c r="HP377" s="179"/>
      <c r="HQ377" s="179"/>
      <c r="HR377" s="179"/>
      <c r="HS377" s="179"/>
      <c r="HT377" s="179"/>
      <c r="HU377" s="179"/>
      <c r="HV377" s="179"/>
      <c r="HW377" s="179"/>
      <c r="HX377" s="179"/>
      <c r="HY377" s="179"/>
      <c r="HZ377" s="179"/>
      <c r="IA377" s="179"/>
      <c r="IB377" s="179"/>
      <c r="IC377" s="179"/>
      <c r="ID377" s="179"/>
      <c r="IE377" s="179"/>
      <c r="IF377" s="179"/>
      <c r="IG377" s="179"/>
      <c r="IH377" s="179"/>
      <c r="II377" s="179"/>
      <c r="IJ377" s="179"/>
      <c r="IK377" s="179"/>
      <c r="IL377" s="179"/>
      <c r="IM377" s="179"/>
      <c r="IN377" s="179"/>
      <c r="IO377" s="179"/>
      <c r="IP377" s="179"/>
    </row>
    <row r="378" spans="1:250" s="466" customFormat="1">
      <c r="A378" s="325" t="s">
        <v>521</v>
      </c>
      <c r="B378" s="194">
        <f>959300/45797.5*B367*1.13</f>
        <v>55412.925812544345</v>
      </c>
      <c r="C378" s="465"/>
      <c r="D378" s="465"/>
      <c r="E378" s="465"/>
      <c r="F378" s="465"/>
      <c r="G378" s="465"/>
      <c r="H378" s="465"/>
      <c r="I378" s="465"/>
      <c r="J378" s="465"/>
      <c r="K378" s="465"/>
      <c r="L378" s="465"/>
      <c r="M378" s="465"/>
      <c r="N378" s="465"/>
      <c r="O378" s="465"/>
      <c r="P378" s="465"/>
      <c r="Q378" s="465"/>
      <c r="R378" s="465"/>
      <c r="S378" s="465"/>
      <c r="T378" s="465"/>
      <c r="U378" s="465"/>
      <c r="V378" s="465"/>
      <c r="W378" s="465"/>
      <c r="X378" s="465"/>
      <c r="Y378" s="465"/>
      <c r="Z378" s="465"/>
      <c r="AA378" s="465"/>
      <c r="AB378" s="465"/>
      <c r="AC378" s="465"/>
      <c r="AD378" s="465"/>
      <c r="AE378" s="465"/>
      <c r="AF378" s="465"/>
      <c r="AG378" s="465"/>
      <c r="AH378" s="465"/>
      <c r="AI378" s="465"/>
      <c r="AJ378" s="465"/>
      <c r="AK378" s="465"/>
      <c r="AL378" s="465"/>
      <c r="AM378" s="465"/>
      <c r="AN378" s="465"/>
      <c r="AO378" s="465"/>
      <c r="AP378" s="465"/>
      <c r="AQ378" s="465"/>
      <c r="AR378" s="465"/>
      <c r="AS378" s="465"/>
      <c r="AT378" s="465"/>
      <c r="AU378" s="465"/>
      <c r="AV378" s="465"/>
      <c r="AW378" s="465"/>
      <c r="AX378" s="465"/>
      <c r="AY378" s="465"/>
      <c r="AZ378" s="465"/>
      <c r="BA378" s="465"/>
      <c r="BB378" s="465"/>
      <c r="BC378" s="465"/>
      <c r="BD378" s="465"/>
      <c r="BE378" s="465"/>
      <c r="BF378" s="465"/>
      <c r="BG378" s="465"/>
      <c r="BH378" s="465"/>
      <c r="BI378" s="465"/>
      <c r="BJ378" s="465"/>
      <c r="BK378" s="465"/>
      <c r="BL378" s="465"/>
      <c r="BM378" s="465"/>
      <c r="BN378" s="465"/>
      <c r="BO378" s="465"/>
      <c r="BP378" s="465"/>
      <c r="BQ378" s="465"/>
      <c r="BR378" s="465"/>
      <c r="BS378" s="465"/>
      <c r="BT378" s="465"/>
      <c r="BU378" s="465"/>
      <c r="BV378" s="465"/>
      <c r="BW378" s="465"/>
      <c r="BX378" s="465"/>
      <c r="BY378" s="465"/>
      <c r="BZ378" s="465"/>
      <c r="CA378" s="465"/>
      <c r="CB378" s="465"/>
      <c r="CC378" s="465"/>
      <c r="CD378" s="465"/>
      <c r="CE378" s="465"/>
      <c r="CF378" s="465"/>
      <c r="CG378" s="465"/>
      <c r="CH378" s="465"/>
      <c r="CI378" s="465"/>
      <c r="CJ378" s="465"/>
      <c r="CK378" s="465"/>
      <c r="CL378" s="465"/>
      <c r="CM378" s="465"/>
      <c r="CN378" s="465"/>
      <c r="CO378" s="465"/>
      <c r="CP378" s="465"/>
      <c r="CQ378" s="465"/>
      <c r="CR378" s="465"/>
      <c r="CS378" s="465"/>
      <c r="CT378" s="465"/>
      <c r="CU378" s="465"/>
      <c r="CV378" s="465"/>
      <c r="CW378" s="465"/>
      <c r="CX378" s="465"/>
      <c r="CY378" s="465"/>
      <c r="CZ378" s="465"/>
      <c r="DA378" s="465"/>
      <c r="DB378" s="465"/>
      <c r="DC378" s="465"/>
      <c r="DD378" s="465"/>
      <c r="DE378" s="465"/>
      <c r="DF378" s="465"/>
      <c r="DG378" s="465"/>
      <c r="DH378" s="465"/>
      <c r="DI378" s="465"/>
      <c r="DJ378" s="465"/>
      <c r="DK378" s="465"/>
      <c r="DL378" s="465"/>
      <c r="DM378" s="465"/>
      <c r="DN378" s="465"/>
      <c r="DO378" s="465"/>
      <c r="DP378" s="465"/>
      <c r="DQ378" s="465"/>
      <c r="DR378" s="465"/>
      <c r="DS378" s="465"/>
      <c r="DT378" s="465"/>
      <c r="DU378" s="465"/>
      <c r="DV378" s="465"/>
      <c r="DW378" s="465"/>
      <c r="DX378" s="465"/>
      <c r="DY378" s="465"/>
      <c r="DZ378" s="465"/>
      <c r="EA378" s="465"/>
      <c r="EB378" s="465"/>
      <c r="EC378" s="465"/>
      <c r="ED378" s="465"/>
      <c r="EE378" s="465"/>
      <c r="EF378" s="465"/>
      <c r="EG378" s="465"/>
      <c r="EH378" s="465"/>
      <c r="EI378" s="465"/>
      <c r="EJ378" s="465"/>
      <c r="EK378" s="465"/>
      <c r="EL378" s="465"/>
      <c r="EM378" s="465"/>
      <c r="EN378" s="465"/>
      <c r="EO378" s="465"/>
      <c r="EP378" s="465"/>
      <c r="EQ378" s="465"/>
      <c r="ER378" s="465"/>
      <c r="ES378" s="465"/>
      <c r="ET378" s="465"/>
      <c r="EU378" s="465"/>
      <c r="EV378" s="465"/>
      <c r="EW378" s="465"/>
      <c r="EX378" s="465"/>
      <c r="EY378" s="465"/>
      <c r="EZ378" s="465"/>
      <c r="FA378" s="465"/>
      <c r="FB378" s="465"/>
      <c r="FC378" s="465"/>
      <c r="FD378" s="465"/>
      <c r="FE378" s="465"/>
      <c r="FF378" s="465"/>
      <c r="FG378" s="465"/>
      <c r="FH378" s="465"/>
      <c r="FI378" s="465"/>
      <c r="FJ378" s="465"/>
      <c r="FK378" s="465"/>
      <c r="FL378" s="465"/>
      <c r="FM378" s="465"/>
      <c r="FN378" s="465"/>
      <c r="FO378" s="465"/>
      <c r="FP378" s="465"/>
      <c r="FQ378" s="465"/>
      <c r="FR378" s="465"/>
      <c r="FS378" s="465"/>
      <c r="FT378" s="465"/>
      <c r="FU378" s="465"/>
      <c r="FV378" s="465"/>
      <c r="FW378" s="465"/>
      <c r="FX378" s="465"/>
      <c r="FY378" s="465"/>
      <c r="FZ378" s="465"/>
      <c r="GA378" s="465"/>
      <c r="GB378" s="465"/>
      <c r="GC378" s="465"/>
      <c r="GD378" s="465"/>
      <c r="GE378" s="465"/>
      <c r="GF378" s="465"/>
      <c r="GG378" s="465"/>
      <c r="GH378" s="465"/>
      <c r="GI378" s="465"/>
      <c r="GJ378" s="465"/>
      <c r="GK378" s="465"/>
      <c r="GL378" s="465"/>
      <c r="GM378" s="465"/>
      <c r="GN378" s="465"/>
      <c r="GO378" s="465"/>
      <c r="GP378" s="465"/>
      <c r="GQ378" s="465"/>
      <c r="GR378" s="465"/>
      <c r="GS378" s="465"/>
      <c r="GT378" s="465"/>
      <c r="GU378" s="465"/>
      <c r="GV378" s="465"/>
      <c r="GW378" s="465"/>
      <c r="GX378" s="465"/>
      <c r="GY378" s="465"/>
      <c r="GZ378" s="465"/>
      <c r="HA378" s="465"/>
      <c r="HB378" s="465"/>
      <c r="HC378" s="465"/>
      <c r="HD378" s="465"/>
      <c r="HE378" s="465"/>
      <c r="HF378" s="465"/>
      <c r="HG378" s="465"/>
      <c r="HH378" s="465"/>
      <c r="HI378" s="465"/>
      <c r="HJ378" s="465"/>
      <c r="HK378" s="465"/>
      <c r="HL378" s="465"/>
      <c r="HM378" s="465"/>
      <c r="HN378" s="465"/>
      <c r="HO378" s="465"/>
      <c r="HP378" s="465"/>
      <c r="HQ378" s="465"/>
      <c r="HR378" s="465"/>
      <c r="HS378" s="465"/>
      <c r="HT378" s="465"/>
      <c r="HU378" s="465"/>
      <c r="HV378" s="465"/>
      <c r="HW378" s="465"/>
      <c r="HX378" s="465"/>
      <c r="HY378" s="465"/>
      <c r="HZ378" s="465"/>
      <c r="IA378" s="465"/>
      <c r="IB378" s="465"/>
      <c r="IC378" s="465"/>
      <c r="ID378" s="465"/>
      <c r="IE378" s="465"/>
      <c r="IF378" s="465"/>
      <c r="IG378" s="465"/>
      <c r="IH378" s="465"/>
      <c r="II378" s="465"/>
      <c r="IJ378" s="465"/>
      <c r="IK378" s="465"/>
      <c r="IL378" s="465"/>
      <c r="IM378" s="465"/>
      <c r="IN378" s="465"/>
      <c r="IO378" s="465"/>
      <c r="IP378" s="465"/>
    </row>
    <row r="379" spans="1:250" s="466" customFormat="1">
      <c r="A379" s="325" t="s">
        <v>987</v>
      </c>
      <c r="B379" s="194">
        <f>0.31*12*B367*1.13</f>
        <v>9841.0479599999981</v>
      </c>
      <c r="C379" s="465"/>
      <c r="D379" s="465"/>
      <c r="E379" s="465"/>
      <c r="F379" s="465"/>
      <c r="G379" s="465"/>
      <c r="H379" s="465"/>
      <c r="I379" s="465"/>
      <c r="J379" s="465"/>
      <c r="K379" s="465"/>
      <c r="L379" s="465"/>
      <c r="M379" s="465"/>
      <c r="N379" s="465"/>
      <c r="O379" s="465"/>
      <c r="P379" s="465"/>
      <c r="Q379" s="465"/>
      <c r="R379" s="465"/>
      <c r="S379" s="465"/>
      <c r="T379" s="465"/>
      <c r="U379" s="465"/>
      <c r="V379" s="465"/>
      <c r="W379" s="465"/>
      <c r="X379" s="465"/>
      <c r="Y379" s="465"/>
      <c r="Z379" s="465"/>
      <c r="AA379" s="465"/>
      <c r="AB379" s="465"/>
      <c r="AC379" s="465"/>
      <c r="AD379" s="465"/>
      <c r="AE379" s="465"/>
      <c r="AF379" s="465"/>
      <c r="AG379" s="465"/>
      <c r="AH379" s="465"/>
      <c r="AI379" s="465"/>
      <c r="AJ379" s="465"/>
      <c r="AK379" s="465"/>
      <c r="AL379" s="465"/>
      <c r="AM379" s="465"/>
      <c r="AN379" s="465"/>
      <c r="AO379" s="465"/>
      <c r="AP379" s="465"/>
      <c r="AQ379" s="465"/>
      <c r="AR379" s="465"/>
      <c r="AS379" s="465"/>
      <c r="AT379" s="465"/>
      <c r="AU379" s="465"/>
      <c r="AV379" s="465"/>
      <c r="AW379" s="465"/>
      <c r="AX379" s="465"/>
      <c r="AY379" s="465"/>
      <c r="AZ379" s="465"/>
      <c r="BA379" s="465"/>
      <c r="BB379" s="465"/>
      <c r="BC379" s="465"/>
      <c r="BD379" s="465"/>
      <c r="BE379" s="465"/>
      <c r="BF379" s="465"/>
      <c r="BG379" s="465"/>
      <c r="BH379" s="465"/>
      <c r="BI379" s="465"/>
      <c r="BJ379" s="465"/>
      <c r="BK379" s="465"/>
      <c r="BL379" s="465"/>
      <c r="BM379" s="465"/>
      <c r="BN379" s="465"/>
      <c r="BO379" s="465"/>
      <c r="BP379" s="465"/>
      <c r="BQ379" s="465"/>
      <c r="BR379" s="465"/>
      <c r="BS379" s="465"/>
      <c r="BT379" s="465"/>
      <c r="BU379" s="465"/>
      <c r="BV379" s="465"/>
      <c r="BW379" s="465"/>
      <c r="BX379" s="465"/>
      <c r="BY379" s="465"/>
      <c r="BZ379" s="465"/>
      <c r="CA379" s="465"/>
      <c r="CB379" s="465"/>
      <c r="CC379" s="465"/>
      <c r="CD379" s="465"/>
      <c r="CE379" s="465"/>
      <c r="CF379" s="465"/>
      <c r="CG379" s="465"/>
      <c r="CH379" s="465"/>
      <c r="CI379" s="465"/>
      <c r="CJ379" s="465"/>
      <c r="CK379" s="465"/>
      <c r="CL379" s="465"/>
      <c r="CM379" s="465"/>
      <c r="CN379" s="465"/>
      <c r="CO379" s="465"/>
      <c r="CP379" s="465"/>
      <c r="CQ379" s="465"/>
      <c r="CR379" s="465"/>
      <c r="CS379" s="465"/>
      <c r="CT379" s="465"/>
      <c r="CU379" s="465"/>
      <c r="CV379" s="465"/>
      <c r="CW379" s="465"/>
      <c r="CX379" s="465"/>
      <c r="CY379" s="465"/>
      <c r="CZ379" s="465"/>
      <c r="DA379" s="465"/>
      <c r="DB379" s="465"/>
      <c r="DC379" s="465"/>
      <c r="DD379" s="465"/>
      <c r="DE379" s="465"/>
      <c r="DF379" s="465"/>
      <c r="DG379" s="465"/>
      <c r="DH379" s="465"/>
      <c r="DI379" s="465"/>
      <c r="DJ379" s="465"/>
      <c r="DK379" s="465"/>
      <c r="DL379" s="465"/>
      <c r="DM379" s="465"/>
      <c r="DN379" s="465"/>
      <c r="DO379" s="465"/>
      <c r="DP379" s="465"/>
      <c r="DQ379" s="465"/>
      <c r="DR379" s="465"/>
      <c r="DS379" s="465"/>
      <c r="DT379" s="465"/>
      <c r="DU379" s="465"/>
      <c r="DV379" s="465"/>
      <c r="DW379" s="465"/>
      <c r="DX379" s="465"/>
      <c r="DY379" s="465"/>
      <c r="DZ379" s="465"/>
      <c r="EA379" s="465"/>
      <c r="EB379" s="465"/>
      <c r="EC379" s="465"/>
      <c r="ED379" s="465"/>
      <c r="EE379" s="465"/>
      <c r="EF379" s="465"/>
      <c r="EG379" s="465"/>
      <c r="EH379" s="465"/>
      <c r="EI379" s="465"/>
      <c r="EJ379" s="465"/>
      <c r="EK379" s="465"/>
      <c r="EL379" s="465"/>
      <c r="EM379" s="465"/>
      <c r="EN379" s="465"/>
      <c r="EO379" s="465"/>
      <c r="EP379" s="465"/>
      <c r="EQ379" s="465"/>
      <c r="ER379" s="465"/>
      <c r="ES379" s="465"/>
      <c r="ET379" s="465"/>
      <c r="EU379" s="465"/>
      <c r="EV379" s="465"/>
      <c r="EW379" s="465"/>
      <c r="EX379" s="465"/>
      <c r="EY379" s="465"/>
      <c r="EZ379" s="465"/>
      <c r="FA379" s="465"/>
      <c r="FB379" s="465"/>
      <c r="FC379" s="465"/>
      <c r="FD379" s="465"/>
      <c r="FE379" s="465"/>
      <c r="FF379" s="465"/>
      <c r="FG379" s="465"/>
      <c r="FH379" s="465"/>
      <c r="FI379" s="465"/>
      <c r="FJ379" s="465"/>
      <c r="FK379" s="465"/>
      <c r="FL379" s="465"/>
      <c r="FM379" s="465"/>
      <c r="FN379" s="465"/>
      <c r="FO379" s="465"/>
      <c r="FP379" s="465"/>
      <c r="FQ379" s="465"/>
      <c r="FR379" s="465"/>
      <c r="FS379" s="465"/>
      <c r="FT379" s="465"/>
      <c r="FU379" s="465"/>
      <c r="FV379" s="465"/>
      <c r="FW379" s="465"/>
      <c r="FX379" s="465"/>
      <c r="FY379" s="465"/>
      <c r="FZ379" s="465"/>
      <c r="GA379" s="465"/>
      <c r="GB379" s="465"/>
      <c r="GC379" s="465"/>
      <c r="GD379" s="465"/>
      <c r="GE379" s="465"/>
      <c r="GF379" s="465"/>
      <c r="GG379" s="465"/>
      <c r="GH379" s="465"/>
      <c r="GI379" s="465"/>
      <c r="GJ379" s="465"/>
      <c r="GK379" s="465"/>
      <c r="GL379" s="465"/>
      <c r="GM379" s="465"/>
      <c r="GN379" s="465"/>
      <c r="GO379" s="465"/>
      <c r="GP379" s="465"/>
      <c r="GQ379" s="465"/>
      <c r="GR379" s="465"/>
      <c r="GS379" s="465"/>
      <c r="GT379" s="465"/>
      <c r="GU379" s="465"/>
      <c r="GV379" s="465"/>
      <c r="GW379" s="465"/>
      <c r="GX379" s="465"/>
      <c r="GY379" s="465"/>
      <c r="GZ379" s="465"/>
      <c r="HA379" s="465"/>
      <c r="HB379" s="465"/>
      <c r="HC379" s="465"/>
      <c r="HD379" s="465"/>
      <c r="HE379" s="465"/>
      <c r="HF379" s="465"/>
      <c r="HG379" s="465"/>
      <c r="HH379" s="465"/>
      <c r="HI379" s="465"/>
      <c r="HJ379" s="465"/>
      <c r="HK379" s="465"/>
      <c r="HL379" s="465"/>
      <c r="HM379" s="465"/>
      <c r="HN379" s="465"/>
      <c r="HO379" s="465"/>
      <c r="HP379" s="465"/>
      <c r="HQ379" s="465"/>
      <c r="HR379" s="465"/>
      <c r="HS379" s="465"/>
      <c r="HT379" s="465"/>
      <c r="HU379" s="465"/>
      <c r="HV379" s="465"/>
      <c r="HW379" s="465"/>
      <c r="HX379" s="465"/>
      <c r="HY379" s="465"/>
      <c r="HZ379" s="465"/>
      <c r="IA379" s="465"/>
      <c r="IB379" s="465"/>
      <c r="IC379" s="465"/>
      <c r="ID379" s="465"/>
      <c r="IE379" s="465"/>
      <c r="IF379" s="465"/>
      <c r="IG379" s="465"/>
      <c r="IH379" s="465"/>
      <c r="II379" s="465"/>
      <c r="IJ379" s="465"/>
      <c r="IK379" s="465"/>
      <c r="IL379" s="465"/>
      <c r="IM379" s="465"/>
      <c r="IN379" s="465"/>
      <c r="IO379" s="465"/>
      <c r="IP379" s="465"/>
    </row>
    <row r="380" spans="1:250" s="466" customFormat="1">
      <c r="A380" s="325" t="s">
        <v>520</v>
      </c>
      <c r="B380" s="194">
        <f>0.89*12*B367*1.13</f>
        <v>28253.331239999992</v>
      </c>
      <c r="C380" s="465"/>
      <c r="D380" s="465"/>
      <c r="E380" s="465"/>
      <c r="F380" s="465"/>
      <c r="G380" s="465"/>
      <c r="H380" s="465"/>
      <c r="I380" s="465"/>
      <c r="J380" s="465"/>
      <c r="K380" s="465"/>
      <c r="L380" s="465"/>
      <c r="M380" s="465"/>
      <c r="N380" s="465"/>
      <c r="O380" s="465"/>
      <c r="P380" s="465"/>
      <c r="Q380" s="465"/>
      <c r="R380" s="465"/>
      <c r="S380" s="465"/>
      <c r="T380" s="465"/>
      <c r="U380" s="465"/>
      <c r="V380" s="465"/>
      <c r="W380" s="465"/>
      <c r="X380" s="465"/>
      <c r="Y380" s="465"/>
      <c r="Z380" s="465"/>
      <c r="AA380" s="465"/>
      <c r="AB380" s="465"/>
      <c r="AC380" s="465"/>
      <c r="AD380" s="465"/>
      <c r="AE380" s="465"/>
      <c r="AF380" s="465"/>
      <c r="AG380" s="465"/>
      <c r="AH380" s="465"/>
      <c r="AI380" s="465"/>
      <c r="AJ380" s="465"/>
      <c r="AK380" s="465"/>
      <c r="AL380" s="465"/>
      <c r="AM380" s="465"/>
      <c r="AN380" s="465"/>
      <c r="AO380" s="465"/>
      <c r="AP380" s="465"/>
      <c r="AQ380" s="465"/>
      <c r="AR380" s="465"/>
      <c r="AS380" s="465"/>
      <c r="AT380" s="465"/>
      <c r="AU380" s="465"/>
      <c r="AV380" s="465"/>
      <c r="AW380" s="465"/>
      <c r="AX380" s="465"/>
      <c r="AY380" s="465"/>
      <c r="AZ380" s="465"/>
      <c r="BA380" s="465"/>
      <c r="BB380" s="465"/>
      <c r="BC380" s="465"/>
      <c r="BD380" s="465"/>
      <c r="BE380" s="465"/>
      <c r="BF380" s="465"/>
      <c r="BG380" s="465"/>
      <c r="BH380" s="465"/>
      <c r="BI380" s="465"/>
      <c r="BJ380" s="465"/>
      <c r="BK380" s="465"/>
      <c r="BL380" s="465"/>
      <c r="BM380" s="465"/>
      <c r="BN380" s="465"/>
      <c r="BO380" s="465"/>
      <c r="BP380" s="465"/>
      <c r="BQ380" s="465"/>
      <c r="BR380" s="465"/>
      <c r="BS380" s="465"/>
      <c r="BT380" s="465"/>
      <c r="BU380" s="465"/>
      <c r="BV380" s="465"/>
      <c r="BW380" s="465"/>
      <c r="BX380" s="465"/>
      <c r="BY380" s="465"/>
      <c r="BZ380" s="465"/>
      <c r="CA380" s="465"/>
      <c r="CB380" s="465"/>
      <c r="CC380" s="465"/>
      <c r="CD380" s="465"/>
      <c r="CE380" s="465"/>
      <c r="CF380" s="465"/>
      <c r="CG380" s="465"/>
      <c r="CH380" s="465"/>
      <c r="CI380" s="465"/>
      <c r="CJ380" s="465"/>
      <c r="CK380" s="465"/>
      <c r="CL380" s="465"/>
      <c r="CM380" s="465"/>
      <c r="CN380" s="465"/>
      <c r="CO380" s="465"/>
      <c r="CP380" s="465"/>
      <c r="CQ380" s="465"/>
      <c r="CR380" s="465"/>
      <c r="CS380" s="465"/>
      <c r="CT380" s="465"/>
      <c r="CU380" s="465"/>
      <c r="CV380" s="465"/>
      <c r="CW380" s="465"/>
      <c r="CX380" s="465"/>
      <c r="CY380" s="465"/>
      <c r="CZ380" s="465"/>
      <c r="DA380" s="465"/>
      <c r="DB380" s="465"/>
      <c r="DC380" s="465"/>
      <c r="DD380" s="465"/>
      <c r="DE380" s="465"/>
      <c r="DF380" s="465"/>
      <c r="DG380" s="465"/>
      <c r="DH380" s="465"/>
      <c r="DI380" s="465"/>
      <c r="DJ380" s="465"/>
      <c r="DK380" s="465"/>
      <c r="DL380" s="465"/>
      <c r="DM380" s="465"/>
      <c r="DN380" s="465"/>
      <c r="DO380" s="465"/>
      <c r="DP380" s="465"/>
      <c r="DQ380" s="465"/>
      <c r="DR380" s="465"/>
      <c r="DS380" s="465"/>
      <c r="DT380" s="465"/>
      <c r="DU380" s="465"/>
      <c r="DV380" s="465"/>
      <c r="DW380" s="465"/>
      <c r="DX380" s="465"/>
      <c r="DY380" s="465"/>
      <c r="DZ380" s="465"/>
      <c r="EA380" s="465"/>
      <c r="EB380" s="465"/>
      <c r="EC380" s="465"/>
      <c r="ED380" s="465"/>
      <c r="EE380" s="465"/>
      <c r="EF380" s="465"/>
      <c r="EG380" s="465"/>
      <c r="EH380" s="465"/>
      <c r="EI380" s="465"/>
      <c r="EJ380" s="465"/>
      <c r="EK380" s="465"/>
      <c r="EL380" s="465"/>
      <c r="EM380" s="465"/>
      <c r="EN380" s="465"/>
      <c r="EO380" s="465"/>
      <c r="EP380" s="465"/>
      <c r="EQ380" s="465"/>
      <c r="ER380" s="465"/>
      <c r="ES380" s="465"/>
      <c r="ET380" s="465"/>
      <c r="EU380" s="465"/>
      <c r="EV380" s="465"/>
      <c r="EW380" s="465"/>
      <c r="EX380" s="465"/>
      <c r="EY380" s="465"/>
      <c r="EZ380" s="465"/>
      <c r="FA380" s="465"/>
      <c r="FB380" s="465"/>
      <c r="FC380" s="465"/>
      <c r="FD380" s="465"/>
      <c r="FE380" s="465"/>
      <c r="FF380" s="465"/>
      <c r="FG380" s="465"/>
      <c r="FH380" s="465"/>
      <c r="FI380" s="465"/>
      <c r="FJ380" s="465"/>
      <c r="FK380" s="465"/>
      <c r="FL380" s="465"/>
      <c r="FM380" s="465"/>
      <c r="FN380" s="465"/>
      <c r="FO380" s="465"/>
      <c r="FP380" s="465"/>
      <c r="FQ380" s="465"/>
      <c r="FR380" s="465"/>
      <c r="FS380" s="465"/>
      <c r="FT380" s="465"/>
      <c r="FU380" s="465"/>
      <c r="FV380" s="465"/>
      <c r="FW380" s="465"/>
      <c r="FX380" s="465"/>
      <c r="FY380" s="465"/>
      <c r="FZ380" s="465"/>
      <c r="GA380" s="465"/>
      <c r="GB380" s="465"/>
      <c r="GC380" s="465"/>
      <c r="GD380" s="465"/>
      <c r="GE380" s="465"/>
      <c r="GF380" s="465"/>
      <c r="GG380" s="465"/>
      <c r="GH380" s="465"/>
      <c r="GI380" s="465"/>
      <c r="GJ380" s="465"/>
      <c r="GK380" s="465"/>
      <c r="GL380" s="465"/>
      <c r="GM380" s="465"/>
      <c r="GN380" s="465"/>
      <c r="GO380" s="465"/>
      <c r="GP380" s="465"/>
      <c r="GQ380" s="465"/>
      <c r="GR380" s="465"/>
      <c r="GS380" s="465"/>
      <c r="GT380" s="465"/>
      <c r="GU380" s="465"/>
      <c r="GV380" s="465"/>
      <c r="GW380" s="465"/>
      <c r="GX380" s="465"/>
      <c r="GY380" s="465"/>
      <c r="GZ380" s="465"/>
      <c r="HA380" s="465"/>
      <c r="HB380" s="465"/>
      <c r="HC380" s="465"/>
      <c r="HD380" s="465"/>
      <c r="HE380" s="465"/>
      <c r="HF380" s="465"/>
      <c r="HG380" s="465"/>
      <c r="HH380" s="465"/>
      <c r="HI380" s="465"/>
      <c r="HJ380" s="465"/>
      <c r="HK380" s="465"/>
      <c r="HL380" s="465"/>
      <c r="HM380" s="465"/>
      <c r="HN380" s="465"/>
      <c r="HO380" s="465"/>
      <c r="HP380" s="465"/>
      <c r="HQ380" s="465"/>
      <c r="HR380" s="465"/>
      <c r="HS380" s="465"/>
      <c r="HT380" s="465"/>
      <c r="HU380" s="465"/>
      <c r="HV380" s="465"/>
      <c r="HW380" s="465"/>
      <c r="HX380" s="465"/>
      <c r="HY380" s="465"/>
      <c r="HZ380" s="465"/>
      <c r="IA380" s="465"/>
      <c r="IB380" s="465"/>
      <c r="IC380" s="465"/>
      <c r="ID380" s="465"/>
      <c r="IE380" s="465"/>
      <c r="IF380" s="465"/>
      <c r="IG380" s="465"/>
      <c r="IH380" s="465"/>
      <c r="II380" s="465"/>
      <c r="IJ380" s="465"/>
      <c r="IK380" s="465"/>
      <c r="IL380" s="465"/>
      <c r="IM380" s="465"/>
      <c r="IN380" s="465"/>
      <c r="IO380" s="465"/>
      <c r="IP380" s="465"/>
    </row>
    <row r="381" spans="1:250">
      <c r="A381" s="325" t="s">
        <v>2027</v>
      </c>
      <c r="B381" s="194">
        <f>9915*1.13</f>
        <v>11203.949999999999</v>
      </c>
      <c r="C381" s="179"/>
      <c r="D381" s="179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  <c r="AA381" s="179"/>
      <c r="AB381" s="179"/>
      <c r="AC381" s="179"/>
      <c r="AD381" s="179"/>
      <c r="AE381" s="179"/>
      <c r="AF381" s="179"/>
      <c r="AG381" s="179"/>
      <c r="AH381" s="179"/>
      <c r="AI381" s="179"/>
      <c r="AJ381" s="179"/>
      <c r="AK381" s="179"/>
      <c r="AL381" s="179"/>
      <c r="AM381" s="179"/>
      <c r="AN381" s="179"/>
      <c r="AO381" s="179"/>
      <c r="AP381" s="179"/>
      <c r="AQ381" s="179"/>
      <c r="AR381" s="179"/>
      <c r="AS381" s="179"/>
      <c r="AT381" s="179"/>
      <c r="AU381" s="179"/>
      <c r="AV381" s="179"/>
      <c r="AW381" s="179"/>
      <c r="AX381" s="179"/>
      <c r="AY381" s="179"/>
      <c r="AZ381" s="179"/>
      <c r="BA381" s="179"/>
      <c r="BB381" s="179"/>
      <c r="BC381" s="179"/>
      <c r="BD381" s="179"/>
      <c r="BE381" s="179"/>
      <c r="BF381" s="179"/>
      <c r="BG381" s="179"/>
      <c r="BH381" s="179"/>
      <c r="BI381" s="179"/>
      <c r="BJ381" s="179"/>
      <c r="BK381" s="179"/>
      <c r="BL381" s="179"/>
      <c r="BM381" s="179"/>
      <c r="BN381" s="179"/>
      <c r="BO381" s="179"/>
      <c r="BP381" s="179"/>
      <c r="BQ381" s="179"/>
      <c r="BR381" s="179"/>
      <c r="BS381" s="179"/>
      <c r="BT381" s="179"/>
      <c r="BU381" s="179"/>
      <c r="BV381" s="179"/>
      <c r="BW381" s="179"/>
      <c r="BX381" s="179"/>
      <c r="BY381" s="179"/>
      <c r="BZ381" s="179"/>
      <c r="CA381" s="179"/>
      <c r="CB381" s="179"/>
      <c r="CC381" s="179"/>
      <c r="CD381" s="179"/>
      <c r="CE381" s="179"/>
      <c r="CF381" s="179"/>
      <c r="CG381" s="179"/>
      <c r="CH381" s="179"/>
      <c r="CI381" s="179"/>
      <c r="CJ381" s="179"/>
      <c r="CK381" s="179"/>
      <c r="CL381" s="179"/>
      <c r="CM381" s="179"/>
      <c r="CN381" s="179"/>
      <c r="CO381" s="179"/>
      <c r="CP381" s="179"/>
      <c r="CQ381" s="179"/>
      <c r="CR381" s="179"/>
      <c r="CS381" s="179"/>
      <c r="CT381" s="179"/>
      <c r="CU381" s="179"/>
      <c r="CV381" s="179"/>
      <c r="CW381" s="179"/>
      <c r="CX381" s="179"/>
      <c r="CY381" s="179"/>
      <c r="CZ381" s="179"/>
      <c r="DA381" s="179"/>
      <c r="DB381" s="179"/>
      <c r="DC381" s="179"/>
      <c r="DD381" s="179"/>
      <c r="DE381" s="179"/>
      <c r="DF381" s="179"/>
      <c r="DG381" s="179"/>
      <c r="DH381" s="179"/>
      <c r="DI381" s="179"/>
      <c r="DJ381" s="179"/>
      <c r="DK381" s="179"/>
      <c r="DL381" s="179"/>
      <c r="DM381" s="179"/>
      <c r="DN381" s="179"/>
      <c r="DO381" s="179"/>
      <c r="DP381" s="179"/>
      <c r="DQ381" s="179"/>
      <c r="DR381" s="179"/>
      <c r="DS381" s="179"/>
      <c r="DT381" s="179"/>
      <c r="DU381" s="179"/>
      <c r="DV381" s="179"/>
      <c r="DW381" s="179"/>
      <c r="DX381" s="179"/>
      <c r="DY381" s="179"/>
      <c r="DZ381" s="179"/>
      <c r="EA381" s="179"/>
      <c r="EB381" s="179"/>
      <c r="EC381" s="179"/>
      <c r="ED381" s="179"/>
      <c r="EE381" s="179"/>
      <c r="EF381" s="179"/>
      <c r="EG381" s="179"/>
      <c r="EH381" s="179"/>
      <c r="EI381" s="179"/>
      <c r="EJ381" s="179"/>
      <c r="EK381" s="179"/>
      <c r="EL381" s="179"/>
      <c r="EM381" s="179"/>
      <c r="EN381" s="179"/>
      <c r="EO381" s="179"/>
      <c r="EP381" s="179"/>
      <c r="EQ381" s="179"/>
      <c r="ER381" s="179"/>
      <c r="ES381" s="179"/>
      <c r="ET381" s="179"/>
      <c r="EU381" s="179"/>
      <c r="EV381" s="179"/>
      <c r="EW381" s="179"/>
      <c r="EX381" s="179"/>
      <c r="EY381" s="179"/>
      <c r="EZ381" s="179"/>
      <c r="FA381" s="179"/>
      <c r="FB381" s="179"/>
      <c r="FC381" s="179"/>
      <c r="FD381" s="179"/>
      <c r="FE381" s="179"/>
      <c r="FF381" s="179"/>
      <c r="FG381" s="179"/>
      <c r="FH381" s="179"/>
      <c r="FI381" s="179"/>
      <c r="FJ381" s="179"/>
      <c r="FK381" s="179"/>
      <c r="FL381" s="179"/>
      <c r="FM381" s="179"/>
      <c r="FN381" s="179"/>
      <c r="FO381" s="179"/>
      <c r="FP381" s="179"/>
      <c r="FQ381" s="179"/>
      <c r="FR381" s="179"/>
      <c r="FS381" s="179"/>
      <c r="FT381" s="179"/>
      <c r="FU381" s="179"/>
      <c r="FV381" s="179"/>
      <c r="FW381" s="179"/>
      <c r="FX381" s="179"/>
      <c r="FY381" s="179"/>
      <c r="FZ381" s="179"/>
      <c r="GA381" s="179"/>
      <c r="GB381" s="179"/>
      <c r="GC381" s="179"/>
      <c r="GD381" s="179"/>
      <c r="GE381" s="179"/>
      <c r="GF381" s="179"/>
      <c r="GG381" s="179"/>
      <c r="GH381" s="179"/>
      <c r="GI381" s="179"/>
      <c r="GJ381" s="179"/>
      <c r="GK381" s="179"/>
      <c r="GL381" s="179"/>
      <c r="GM381" s="179"/>
      <c r="GN381" s="179"/>
      <c r="GO381" s="179"/>
      <c r="GP381" s="179"/>
      <c r="GQ381" s="179"/>
      <c r="GR381" s="179"/>
      <c r="GS381" s="179"/>
      <c r="GT381" s="179"/>
      <c r="GU381" s="179"/>
      <c r="GV381" s="179"/>
      <c r="GW381" s="179"/>
      <c r="GX381" s="179"/>
      <c r="GY381" s="179"/>
      <c r="GZ381" s="179"/>
      <c r="HA381" s="179"/>
      <c r="HB381" s="179"/>
      <c r="HC381" s="179"/>
      <c r="HD381" s="179"/>
      <c r="HE381" s="179"/>
      <c r="HF381" s="179"/>
      <c r="HG381" s="179"/>
      <c r="HH381" s="179"/>
      <c r="HI381" s="179"/>
      <c r="HJ381" s="179"/>
      <c r="HK381" s="179"/>
      <c r="HL381" s="179"/>
      <c r="HM381" s="179"/>
      <c r="HN381" s="179"/>
      <c r="HO381" s="179"/>
      <c r="HP381" s="179"/>
      <c r="HQ381" s="179"/>
      <c r="HR381" s="179"/>
      <c r="HS381" s="179"/>
      <c r="HT381" s="179"/>
      <c r="HU381" s="179"/>
      <c r="HV381" s="179"/>
      <c r="HW381" s="179"/>
      <c r="HX381" s="179"/>
      <c r="HY381" s="179"/>
      <c r="HZ381" s="179"/>
      <c r="IA381" s="179"/>
      <c r="IB381" s="179"/>
      <c r="IC381" s="179"/>
      <c r="ID381" s="179"/>
      <c r="IE381" s="179"/>
      <c r="IF381" s="179"/>
      <c r="IG381" s="179"/>
      <c r="IH381" s="179"/>
      <c r="II381" s="179"/>
      <c r="IJ381" s="179"/>
      <c r="IK381" s="179"/>
      <c r="IL381" s="179"/>
      <c r="IM381" s="179"/>
      <c r="IN381" s="179"/>
      <c r="IO381" s="179"/>
      <c r="IP381" s="179"/>
    </row>
    <row r="382" spans="1:250" s="466" customFormat="1">
      <c r="A382" s="325" t="s">
        <v>2418</v>
      </c>
      <c r="B382" s="194">
        <f>(1.4*9100*13*1.302+657813)*1.13</f>
        <v>986998.77119999984</v>
      </c>
      <c r="C382" s="465" t="s">
        <v>2419</v>
      </c>
      <c r="D382" s="465"/>
      <c r="E382" s="465"/>
      <c r="F382" s="465"/>
      <c r="G382" s="465"/>
      <c r="H382" s="465"/>
      <c r="I382" s="465"/>
      <c r="J382" s="465"/>
      <c r="K382" s="465"/>
      <c r="L382" s="465"/>
      <c r="M382" s="465"/>
      <c r="N382" s="465"/>
      <c r="O382" s="465"/>
      <c r="P382" s="465"/>
      <c r="Q382" s="465"/>
      <c r="R382" s="465"/>
      <c r="S382" s="465"/>
      <c r="T382" s="465"/>
      <c r="U382" s="465"/>
      <c r="V382" s="465"/>
      <c r="W382" s="465"/>
      <c r="X382" s="465"/>
      <c r="Y382" s="465"/>
      <c r="Z382" s="465"/>
      <c r="AA382" s="465"/>
      <c r="AB382" s="465"/>
      <c r="AC382" s="465"/>
      <c r="AD382" s="465"/>
      <c r="AE382" s="465"/>
      <c r="AF382" s="465"/>
      <c r="AG382" s="465"/>
      <c r="AH382" s="465"/>
      <c r="AI382" s="465"/>
      <c r="AJ382" s="465"/>
      <c r="AK382" s="465"/>
      <c r="AL382" s="465"/>
      <c r="AM382" s="465"/>
      <c r="AN382" s="465"/>
      <c r="AO382" s="465"/>
      <c r="AP382" s="465"/>
      <c r="AQ382" s="465"/>
      <c r="AR382" s="465"/>
      <c r="AS382" s="465"/>
      <c r="AT382" s="465"/>
      <c r="AU382" s="465"/>
      <c r="AV382" s="465"/>
      <c r="AW382" s="465"/>
      <c r="AX382" s="465"/>
      <c r="AY382" s="465"/>
      <c r="AZ382" s="465"/>
      <c r="BA382" s="465"/>
      <c r="BB382" s="465"/>
      <c r="BC382" s="465"/>
      <c r="BD382" s="465"/>
      <c r="BE382" s="465"/>
      <c r="BF382" s="465"/>
      <c r="BG382" s="465"/>
      <c r="BH382" s="465"/>
      <c r="BI382" s="465"/>
      <c r="BJ382" s="465"/>
      <c r="BK382" s="465"/>
      <c r="BL382" s="465"/>
      <c r="BM382" s="465"/>
      <c r="BN382" s="465"/>
      <c r="BO382" s="465"/>
      <c r="BP382" s="465"/>
      <c r="BQ382" s="465"/>
      <c r="BR382" s="465"/>
      <c r="BS382" s="465"/>
      <c r="BT382" s="465"/>
      <c r="BU382" s="465"/>
      <c r="BV382" s="465"/>
      <c r="BW382" s="465"/>
      <c r="BX382" s="465"/>
      <c r="BY382" s="465"/>
      <c r="BZ382" s="465"/>
      <c r="CA382" s="465"/>
      <c r="CB382" s="465"/>
      <c r="CC382" s="465"/>
      <c r="CD382" s="465"/>
      <c r="CE382" s="465"/>
      <c r="CF382" s="465"/>
      <c r="CG382" s="465"/>
      <c r="CH382" s="465"/>
      <c r="CI382" s="465"/>
      <c r="CJ382" s="465"/>
      <c r="CK382" s="465"/>
      <c r="CL382" s="465"/>
      <c r="CM382" s="465"/>
      <c r="CN382" s="465"/>
      <c r="CO382" s="465"/>
      <c r="CP382" s="465"/>
      <c r="CQ382" s="465"/>
      <c r="CR382" s="465"/>
      <c r="CS382" s="465"/>
      <c r="CT382" s="465"/>
      <c r="CU382" s="465"/>
      <c r="CV382" s="465"/>
      <c r="CW382" s="465"/>
      <c r="CX382" s="465"/>
      <c r="CY382" s="465"/>
      <c r="CZ382" s="465"/>
      <c r="DA382" s="465"/>
      <c r="DB382" s="465"/>
      <c r="DC382" s="465"/>
      <c r="DD382" s="465"/>
      <c r="DE382" s="465"/>
      <c r="DF382" s="465"/>
      <c r="DG382" s="465"/>
      <c r="DH382" s="465"/>
      <c r="DI382" s="465"/>
      <c r="DJ382" s="465"/>
      <c r="DK382" s="465"/>
      <c r="DL382" s="465"/>
      <c r="DM382" s="465"/>
      <c r="DN382" s="465"/>
      <c r="DO382" s="465"/>
      <c r="DP382" s="465"/>
      <c r="DQ382" s="465"/>
      <c r="DR382" s="465"/>
      <c r="DS382" s="465"/>
      <c r="DT382" s="465"/>
      <c r="DU382" s="465"/>
      <c r="DV382" s="465"/>
      <c r="DW382" s="465"/>
      <c r="DX382" s="465"/>
      <c r="DY382" s="465"/>
      <c r="DZ382" s="465"/>
      <c r="EA382" s="465"/>
      <c r="EB382" s="465"/>
      <c r="EC382" s="465"/>
      <c r="ED382" s="465"/>
      <c r="EE382" s="465"/>
      <c r="EF382" s="465"/>
      <c r="EG382" s="465"/>
      <c r="EH382" s="465"/>
      <c r="EI382" s="465"/>
      <c r="EJ382" s="465"/>
      <c r="EK382" s="465"/>
      <c r="EL382" s="465"/>
      <c r="EM382" s="465"/>
      <c r="EN382" s="465"/>
      <c r="EO382" s="465"/>
      <c r="EP382" s="465"/>
      <c r="EQ382" s="465"/>
      <c r="ER382" s="465"/>
      <c r="ES382" s="465"/>
      <c r="ET382" s="465"/>
      <c r="EU382" s="465"/>
      <c r="EV382" s="465"/>
      <c r="EW382" s="465"/>
      <c r="EX382" s="465"/>
      <c r="EY382" s="465"/>
      <c r="EZ382" s="465"/>
      <c r="FA382" s="465"/>
      <c r="FB382" s="465"/>
      <c r="FC382" s="465"/>
      <c r="FD382" s="465"/>
      <c r="FE382" s="465"/>
      <c r="FF382" s="465"/>
      <c r="FG382" s="465"/>
      <c r="FH382" s="465"/>
      <c r="FI382" s="465"/>
      <c r="FJ382" s="465"/>
      <c r="FK382" s="465"/>
      <c r="FL382" s="465"/>
      <c r="FM382" s="465"/>
      <c r="FN382" s="465"/>
      <c r="FO382" s="465"/>
      <c r="FP382" s="465"/>
      <c r="FQ382" s="465"/>
      <c r="FR382" s="465"/>
      <c r="FS382" s="465"/>
      <c r="FT382" s="465"/>
      <c r="FU382" s="465"/>
      <c r="FV382" s="465"/>
      <c r="FW382" s="465"/>
      <c r="FX382" s="465"/>
      <c r="FY382" s="465"/>
      <c r="FZ382" s="465"/>
      <c r="GA382" s="465"/>
      <c r="GB382" s="465"/>
      <c r="GC382" s="465"/>
      <c r="GD382" s="465"/>
      <c r="GE382" s="465"/>
      <c r="GF382" s="465"/>
      <c r="GG382" s="465"/>
      <c r="GH382" s="465"/>
      <c r="GI382" s="465"/>
      <c r="GJ382" s="465"/>
      <c r="GK382" s="465"/>
      <c r="GL382" s="465"/>
      <c r="GM382" s="465"/>
      <c r="GN382" s="465"/>
      <c r="GO382" s="465"/>
      <c r="GP382" s="465"/>
      <c r="GQ382" s="465"/>
      <c r="GR382" s="465"/>
      <c r="GS382" s="465"/>
      <c r="GT382" s="465"/>
      <c r="GU382" s="465"/>
      <c r="GV382" s="465"/>
      <c r="GW382" s="465"/>
      <c r="GX382" s="465"/>
      <c r="GY382" s="465"/>
      <c r="GZ382" s="465"/>
      <c r="HA382" s="465"/>
      <c r="HB382" s="465"/>
      <c r="HC382" s="465"/>
      <c r="HD382" s="465"/>
      <c r="HE382" s="465"/>
      <c r="HF382" s="465"/>
      <c r="HG382" s="465"/>
      <c r="HH382" s="465"/>
      <c r="HI382" s="465"/>
      <c r="HJ382" s="465"/>
      <c r="HK382" s="465"/>
      <c r="HL382" s="465"/>
      <c r="HM382" s="465"/>
      <c r="HN382" s="465"/>
      <c r="HO382" s="465"/>
      <c r="HP382" s="465"/>
      <c r="HQ382" s="465"/>
      <c r="HR382" s="465"/>
      <c r="HS382" s="465"/>
      <c r="HT382" s="465"/>
      <c r="HU382" s="465"/>
      <c r="HV382" s="465"/>
      <c r="HW382" s="465"/>
      <c r="HX382" s="465"/>
      <c r="HY382" s="465"/>
      <c r="HZ382" s="465"/>
      <c r="IA382" s="465"/>
      <c r="IB382" s="465"/>
      <c r="IC382" s="465"/>
      <c r="ID382" s="465"/>
      <c r="IE382" s="465"/>
      <c r="IF382" s="465"/>
      <c r="IG382" s="465"/>
      <c r="IH382" s="465"/>
      <c r="II382" s="465"/>
      <c r="IJ382" s="465"/>
      <c r="IK382" s="465"/>
      <c r="IL382" s="465"/>
      <c r="IM382" s="465"/>
      <c r="IN382" s="465"/>
      <c r="IO382" s="465"/>
      <c r="IP382" s="465"/>
    </row>
    <row r="383" spans="1:250">
      <c r="A383" s="325" t="s">
        <v>602</v>
      </c>
      <c r="B383" s="194">
        <f>B364</f>
        <v>543</v>
      </c>
      <c r="C383" s="179"/>
      <c r="D383" s="179"/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  <c r="V383" s="179"/>
      <c r="W383" s="179"/>
      <c r="X383" s="179"/>
      <c r="Y383" s="179"/>
      <c r="Z383" s="179"/>
      <c r="AA383" s="179"/>
      <c r="AB383" s="179"/>
      <c r="AC383" s="179"/>
      <c r="AD383" s="179"/>
      <c r="AE383" s="179"/>
      <c r="AF383" s="179"/>
      <c r="AG383" s="179"/>
      <c r="AH383" s="179"/>
      <c r="AI383" s="179"/>
      <c r="AJ383" s="179"/>
      <c r="AK383" s="179"/>
      <c r="AL383" s="179"/>
      <c r="AM383" s="179"/>
      <c r="AN383" s="179"/>
      <c r="AO383" s="179"/>
      <c r="AP383" s="179"/>
      <c r="AQ383" s="179"/>
      <c r="AR383" s="179"/>
      <c r="AS383" s="179"/>
      <c r="AT383" s="179"/>
      <c r="AU383" s="179"/>
      <c r="AV383" s="179"/>
      <c r="AW383" s="179"/>
      <c r="AX383" s="179"/>
      <c r="AY383" s="179"/>
      <c r="AZ383" s="179"/>
      <c r="BA383" s="179"/>
      <c r="BB383" s="179"/>
      <c r="BC383" s="179"/>
      <c r="BD383" s="179"/>
      <c r="BE383" s="179"/>
      <c r="BF383" s="179"/>
      <c r="BG383" s="179"/>
      <c r="BH383" s="179"/>
      <c r="BI383" s="179"/>
      <c r="BJ383" s="179"/>
      <c r="BK383" s="179"/>
      <c r="BL383" s="179"/>
      <c r="BM383" s="179"/>
      <c r="BN383" s="179"/>
      <c r="BO383" s="179"/>
      <c r="BP383" s="179"/>
      <c r="BQ383" s="179"/>
      <c r="BR383" s="179"/>
      <c r="BS383" s="179"/>
      <c r="BT383" s="179"/>
      <c r="BU383" s="179"/>
      <c r="BV383" s="179"/>
      <c r="BW383" s="179"/>
      <c r="BX383" s="179"/>
      <c r="BY383" s="179"/>
      <c r="BZ383" s="179"/>
      <c r="CA383" s="179"/>
      <c r="CB383" s="179"/>
      <c r="CC383" s="179"/>
      <c r="CD383" s="179"/>
      <c r="CE383" s="179"/>
      <c r="CF383" s="179"/>
      <c r="CG383" s="179"/>
      <c r="CH383" s="179"/>
      <c r="CI383" s="179"/>
      <c r="CJ383" s="179"/>
      <c r="CK383" s="179"/>
      <c r="CL383" s="179"/>
      <c r="CM383" s="179"/>
      <c r="CN383" s="179"/>
      <c r="CO383" s="179"/>
      <c r="CP383" s="179"/>
      <c r="CQ383" s="179"/>
      <c r="CR383" s="179"/>
      <c r="CS383" s="179"/>
      <c r="CT383" s="179"/>
      <c r="CU383" s="179"/>
      <c r="CV383" s="179"/>
      <c r="CW383" s="179"/>
      <c r="CX383" s="179"/>
      <c r="CY383" s="179"/>
      <c r="CZ383" s="179"/>
      <c r="DA383" s="179"/>
      <c r="DB383" s="179"/>
      <c r="DC383" s="179"/>
      <c r="DD383" s="179"/>
      <c r="DE383" s="179"/>
      <c r="DF383" s="179"/>
      <c r="DG383" s="179"/>
      <c r="DH383" s="179"/>
      <c r="DI383" s="179"/>
      <c r="DJ383" s="179"/>
      <c r="DK383" s="179"/>
      <c r="DL383" s="179"/>
      <c r="DM383" s="179"/>
      <c r="DN383" s="179"/>
      <c r="DO383" s="179"/>
      <c r="DP383" s="179"/>
      <c r="DQ383" s="179"/>
      <c r="DR383" s="179"/>
      <c r="DS383" s="179"/>
      <c r="DT383" s="179"/>
      <c r="DU383" s="179"/>
      <c r="DV383" s="179"/>
      <c r="DW383" s="179"/>
      <c r="DX383" s="179"/>
      <c r="DY383" s="179"/>
      <c r="DZ383" s="179"/>
      <c r="EA383" s="179"/>
      <c r="EB383" s="179"/>
      <c r="EC383" s="179"/>
      <c r="ED383" s="179"/>
      <c r="EE383" s="179"/>
      <c r="EF383" s="179"/>
      <c r="EG383" s="179"/>
      <c r="EH383" s="179"/>
      <c r="EI383" s="179"/>
      <c r="EJ383" s="179"/>
      <c r="EK383" s="179"/>
      <c r="EL383" s="179"/>
      <c r="EM383" s="179"/>
      <c r="EN383" s="179"/>
      <c r="EO383" s="179"/>
      <c r="EP383" s="179"/>
      <c r="EQ383" s="179"/>
      <c r="ER383" s="179"/>
      <c r="ES383" s="179"/>
      <c r="ET383" s="179"/>
      <c r="EU383" s="179"/>
      <c r="EV383" s="179"/>
      <c r="EW383" s="179"/>
      <c r="EX383" s="179"/>
      <c r="EY383" s="179"/>
      <c r="EZ383" s="179"/>
      <c r="FA383" s="179"/>
      <c r="FB383" s="179"/>
      <c r="FC383" s="179"/>
      <c r="FD383" s="179"/>
      <c r="FE383" s="179"/>
      <c r="FF383" s="179"/>
      <c r="FG383" s="179"/>
      <c r="FH383" s="179"/>
      <c r="FI383" s="179"/>
      <c r="FJ383" s="179"/>
      <c r="FK383" s="179"/>
      <c r="FL383" s="179"/>
      <c r="FM383" s="179"/>
      <c r="FN383" s="179"/>
      <c r="FO383" s="179"/>
      <c r="FP383" s="179"/>
      <c r="FQ383" s="179"/>
      <c r="FR383" s="179"/>
      <c r="FS383" s="179"/>
      <c r="FT383" s="179"/>
      <c r="FU383" s="179"/>
      <c r="FV383" s="179"/>
      <c r="FW383" s="179"/>
      <c r="FX383" s="179"/>
      <c r="FY383" s="179"/>
      <c r="FZ383" s="179"/>
      <c r="GA383" s="179"/>
      <c r="GB383" s="179"/>
      <c r="GC383" s="179"/>
      <c r="GD383" s="179"/>
      <c r="GE383" s="179"/>
      <c r="GF383" s="179"/>
      <c r="GG383" s="179"/>
      <c r="GH383" s="179"/>
      <c r="GI383" s="179"/>
      <c r="GJ383" s="179"/>
      <c r="GK383" s="179"/>
      <c r="GL383" s="179"/>
      <c r="GM383" s="179"/>
      <c r="GN383" s="179"/>
      <c r="GO383" s="179"/>
      <c r="GP383" s="179"/>
      <c r="GQ383" s="179"/>
      <c r="GR383" s="179"/>
      <c r="GS383" s="179"/>
      <c r="GT383" s="179"/>
      <c r="GU383" s="179"/>
      <c r="GV383" s="179"/>
      <c r="GW383" s="179"/>
      <c r="GX383" s="179"/>
      <c r="GY383" s="179"/>
      <c r="GZ383" s="179"/>
      <c r="HA383" s="179"/>
      <c r="HB383" s="179"/>
      <c r="HC383" s="179"/>
      <c r="HD383" s="179"/>
      <c r="HE383" s="179"/>
      <c r="HF383" s="179"/>
      <c r="HG383" s="179"/>
      <c r="HH383" s="179"/>
      <c r="HI383" s="179"/>
      <c r="HJ383" s="179"/>
      <c r="HK383" s="179"/>
      <c r="HL383" s="179"/>
      <c r="HM383" s="179"/>
      <c r="HN383" s="179"/>
      <c r="HO383" s="179"/>
      <c r="HP383" s="179"/>
      <c r="HQ383" s="179"/>
      <c r="HR383" s="179"/>
      <c r="HS383" s="179"/>
      <c r="HT383" s="179"/>
      <c r="HU383" s="179"/>
      <c r="HV383" s="179"/>
      <c r="HW383" s="179"/>
      <c r="HX383" s="179"/>
      <c r="HY383" s="179"/>
      <c r="HZ383" s="179"/>
      <c r="IA383" s="179"/>
      <c r="IB383" s="179"/>
      <c r="IC383" s="179"/>
      <c r="ID383" s="179"/>
      <c r="IE383" s="179"/>
      <c r="IF383" s="179"/>
      <c r="IG383" s="179"/>
      <c r="IH383" s="179"/>
      <c r="II383" s="179"/>
      <c r="IJ383" s="179"/>
      <c r="IK383" s="179"/>
      <c r="IL383" s="179"/>
      <c r="IM383" s="179"/>
      <c r="IN383" s="179"/>
      <c r="IO383" s="179"/>
      <c r="IP383" s="179"/>
    </row>
    <row r="384" spans="1:250">
      <c r="A384" s="325" t="s">
        <v>603</v>
      </c>
      <c r="B384" s="194">
        <f>B383*130*1.302*1.5</f>
        <v>137862.27000000002</v>
      </c>
      <c r="C384" s="179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79"/>
      <c r="AT384" s="179"/>
      <c r="AU384" s="179"/>
      <c r="AV384" s="179"/>
      <c r="AW384" s="179"/>
      <c r="AX384" s="179"/>
      <c r="AY384" s="179"/>
      <c r="AZ384" s="179"/>
      <c r="BA384" s="179"/>
      <c r="BB384" s="179"/>
      <c r="BC384" s="179"/>
      <c r="BD384" s="179"/>
      <c r="BE384" s="179"/>
      <c r="BF384" s="179"/>
      <c r="BG384" s="179"/>
      <c r="BH384" s="179"/>
      <c r="BI384" s="179"/>
      <c r="BJ384" s="179"/>
      <c r="BK384" s="179"/>
      <c r="BL384" s="179"/>
      <c r="BM384" s="179"/>
      <c r="BN384" s="179"/>
      <c r="BO384" s="179"/>
      <c r="BP384" s="179"/>
      <c r="BQ384" s="179"/>
      <c r="BR384" s="179"/>
      <c r="BS384" s="179"/>
      <c r="BT384" s="179"/>
      <c r="BU384" s="179"/>
      <c r="BV384" s="179"/>
      <c r="BW384" s="179"/>
      <c r="BX384" s="179"/>
      <c r="BY384" s="179"/>
      <c r="BZ384" s="179"/>
      <c r="CA384" s="179"/>
      <c r="CB384" s="179"/>
      <c r="CC384" s="179"/>
      <c r="CD384" s="179"/>
      <c r="CE384" s="179"/>
      <c r="CF384" s="179"/>
      <c r="CG384" s="179"/>
      <c r="CH384" s="179"/>
      <c r="CI384" s="179"/>
      <c r="CJ384" s="179"/>
      <c r="CK384" s="179"/>
      <c r="CL384" s="179"/>
      <c r="CM384" s="179"/>
      <c r="CN384" s="179"/>
      <c r="CO384" s="179"/>
      <c r="CP384" s="179"/>
      <c r="CQ384" s="179"/>
      <c r="CR384" s="179"/>
      <c r="CS384" s="179"/>
      <c r="CT384" s="179"/>
      <c r="CU384" s="179"/>
      <c r="CV384" s="179"/>
      <c r="CW384" s="179"/>
      <c r="CX384" s="179"/>
      <c r="CY384" s="179"/>
      <c r="CZ384" s="179"/>
      <c r="DA384" s="179"/>
      <c r="DB384" s="179"/>
      <c r="DC384" s="179"/>
      <c r="DD384" s="179"/>
      <c r="DE384" s="179"/>
      <c r="DF384" s="179"/>
      <c r="DG384" s="179"/>
      <c r="DH384" s="179"/>
      <c r="DI384" s="179"/>
      <c r="DJ384" s="179"/>
      <c r="DK384" s="179"/>
      <c r="DL384" s="179"/>
      <c r="DM384" s="179"/>
      <c r="DN384" s="179"/>
      <c r="DO384" s="179"/>
      <c r="DP384" s="179"/>
      <c r="DQ384" s="179"/>
      <c r="DR384" s="179"/>
      <c r="DS384" s="179"/>
      <c r="DT384" s="179"/>
      <c r="DU384" s="179"/>
      <c r="DV384" s="179"/>
      <c r="DW384" s="179"/>
      <c r="DX384" s="179"/>
      <c r="DY384" s="179"/>
      <c r="DZ384" s="179"/>
      <c r="EA384" s="179"/>
      <c r="EB384" s="179"/>
      <c r="EC384" s="179"/>
      <c r="ED384" s="179"/>
      <c r="EE384" s="179"/>
      <c r="EF384" s="179"/>
      <c r="EG384" s="179"/>
      <c r="EH384" s="179"/>
      <c r="EI384" s="179"/>
      <c r="EJ384" s="179"/>
      <c r="EK384" s="179"/>
      <c r="EL384" s="179"/>
      <c r="EM384" s="179"/>
      <c r="EN384" s="179"/>
      <c r="EO384" s="179"/>
      <c r="EP384" s="179"/>
      <c r="EQ384" s="179"/>
      <c r="ER384" s="179"/>
      <c r="ES384" s="179"/>
      <c r="ET384" s="179"/>
      <c r="EU384" s="179"/>
      <c r="EV384" s="179"/>
      <c r="EW384" s="179"/>
      <c r="EX384" s="179"/>
      <c r="EY384" s="179"/>
      <c r="EZ384" s="179"/>
      <c r="FA384" s="179"/>
      <c r="FB384" s="179"/>
      <c r="FC384" s="179"/>
      <c r="FD384" s="179"/>
      <c r="FE384" s="179"/>
      <c r="FF384" s="179"/>
      <c r="FG384" s="179"/>
      <c r="FH384" s="179"/>
      <c r="FI384" s="179"/>
      <c r="FJ384" s="179"/>
      <c r="FK384" s="179"/>
      <c r="FL384" s="179"/>
      <c r="FM384" s="179"/>
      <c r="FN384" s="179"/>
      <c r="FO384" s="179"/>
      <c r="FP384" s="179"/>
      <c r="FQ384" s="179"/>
      <c r="FR384" s="179"/>
      <c r="FS384" s="179"/>
      <c r="FT384" s="179"/>
      <c r="FU384" s="179"/>
      <c r="FV384" s="179"/>
      <c r="FW384" s="179"/>
      <c r="FX384" s="179"/>
      <c r="FY384" s="179"/>
      <c r="FZ384" s="179"/>
      <c r="GA384" s="179"/>
      <c r="GB384" s="179"/>
      <c r="GC384" s="179"/>
      <c r="GD384" s="179"/>
      <c r="GE384" s="179"/>
      <c r="GF384" s="179"/>
      <c r="GG384" s="179"/>
      <c r="GH384" s="179"/>
      <c r="GI384" s="179"/>
      <c r="GJ384" s="179"/>
      <c r="GK384" s="179"/>
      <c r="GL384" s="179"/>
      <c r="GM384" s="179"/>
      <c r="GN384" s="179"/>
      <c r="GO384" s="179"/>
      <c r="GP384" s="179"/>
      <c r="GQ384" s="179"/>
      <c r="GR384" s="179"/>
      <c r="GS384" s="179"/>
      <c r="GT384" s="179"/>
      <c r="GU384" s="179"/>
      <c r="GV384" s="179"/>
      <c r="GW384" s="179"/>
      <c r="GX384" s="179"/>
      <c r="GY384" s="179"/>
      <c r="GZ384" s="179"/>
      <c r="HA384" s="179"/>
      <c r="HB384" s="179"/>
      <c r="HC384" s="179"/>
      <c r="HD384" s="179"/>
      <c r="HE384" s="179"/>
      <c r="HF384" s="179"/>
      <c r="HG384" s="179"/>
      <c r="HH384" s="179"/>
      <c r="HI384" s="179"/>
      <c r="HJ384" s="179"/>
      <c r="HK384" s="179"/>
      <c r="HL384" s="179"/>
      <c r="HM384" s="179"/>
      <c r="HN384" s="179"/>
      <c r="HO384" s="179"/>
      <c r="HP384" s="179"/>
      <c r="HQ384" s="179"/>
      <c r="HR384" s="179"/>
      <c r="HS384" s="179"/>
      <c r="HT384" s="179"/>
      <c r="HU384" s="179"/>
      <c r="HV384" s="179"/>
      <c r="HW384" s="179"/>
      <c r="HX384" s="179"/>
      <c r="HY384" s="179"/>
      <c r="HZ384" s="179"/>
      <c r="IA384" s="179"/>
      <c r="IB384" s="179"/>
      <c r="IC384" s="179"/>
      <c r="ID384" s="179"/>
      <c r="IE384" s="179"/>
      <c r="IF384" s="179"/>
      <c r="IG384" s="179"/>
      <c r="IH384" s="179"/>
      <c r="II384" s="179"/>
      <c r="IJ384" s="179"/>
      <c r="IK384" s="179"/>
      <c r="IL384" s="179"/>
      <c r="IM384" s="179"/>
      <c r="IN384" s="179"/>
      <c r="IO384" s="179"/>
      <c r="IP384" s="179"/>
    </row>
    <row r="385" spans="1:250">
      <c r="A385" s="325" t="s">
        <v>1603</v>
      </c>
      <c r="B385" s="194">
        <f>54456.68*1.13</f>
        <v>61536.048399999992</v>
      </c>
      <c r="C385" s="179"/>
      <c r="D385" s="179"/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79"/>
      <c r="AT385" s="179"/>
      <c r="AU385" s="179"/>
      <c r="AV385" s="179"/>
      <c r="AW385" s="179"/>
      <c r="AX385" s="179"/>
      <c r="AY385" s="179"/>
      <c r="AZ385" s="179"/>
      <c r="BA385" s="179"/>
      <c r="BB385" s="179"/>
      <c r="BC385" s="179"/>
      <c r="BD385" s="179"/>
      <c r="BE385" s="179"/>
      <c r="BF385" s="179"/>
      <c r="BG385" s="179"/>
      <c r="BH385" s="179"/>
      <c r="BI385" s="179"/>
      <c r="BJ385" s="179"/>
      <c r="BK385" s="179"/>
      <c r="BL385" s="179"/>
      <c r="BM385" s="179"/>
      <c r="BN385" s="179"/>
      <c r="BO385" s="179"/>
      <c r="BP385" s="179"/>
      <c r="BQ385" s="179"/>
      <c r="BR385" s="179"/>
      <c r="BS385" s="179"/>
      <c r="BT385" s="179"/>
      <c r="BU385" s="179"/>
      <c r="BV385" s="179"/>
      <c r="BW385" s="179"/>
      <c r="BX385" s="179"/>
      <c r="BY385" s="179"/>
      <c r="BZ385" s="179"/>
      <c r="CA385" s="179"/>
      <c r="CB385" s="179"/>
      <c r="CC385" s="179"/>
      <c r="CD385" s="179"/>
      <c r="CE385" s="179"/>
      <c r="CF385" s="179"/>
      <c r="CG385" s="179"/>
      <c r="CH385" s="179"/>
      <c r="CI385" s="179"/>
      <c r="CJ385" s="179"/>
      <c r="CK385" s="179"/>
      <c r="CL385" s="179"/>
      <c r="CM385" s="179"/>
      <c r="CN385" s="179"/>
      <c r="CO385" s="179"/>
      <c r="CP385" s="179"/>
      <c r="CQ385" s="179"/>
      <c r="CR385" s="179"/>
      <c r="CS385" s="179"/>
      <c r="CT385" s="179"/>
      <c r="CU385" s="179"/>
      <c r="CV385" s="179"/>
      <c r="CW385" s="179"/>
      <c r="CX385" s="179"/>
      <c r="CY385" s="179"/>
      <c r="CZ385" s="179"/>
      <c r="DA385" s="179"/>
      <c r="DB385" s="179"/>
      <c r="DC385" s="179"/>
      <c r="DD385" s="179"/>
      <c r="DE385" s="179"/>
      <c r="DF385" s="179"/>
      <c r="DG385" s="179"/>
      <c r="DH385" s="179"/>
      <c r="DI385" s="179"/>
      <c r="DJ385" s="179"/>
      <c r="DK385" s="179"/>
      <c r="DL385" s="179"/>
      <c r="DM385" s="179"/>
      <c r="DN385" s="179"/>
      <c r="DO385" s="179"/>
      <c r="DP385" s="179"/>
      <c r="DQ385" s="179"/>
      <c r="DR385" s="179"/>
      <c r="DS385" s="179"/>
      <c r="DT385" s="179"/>
      <c r="DU385" s="179"/>
      <c r="DV385" s="179"/>
      <c r="DW385" s="179"/>
      <c r="DX385" s="179"/>
      <c r="DY385" s="179"/>
      <c r="DZ385" s="179"/>
      <c r="EA385" s="179"/>
      <c r="EB385" s="179"/>
      <c r="EC385" s="179"/>
      <c r="ED385" s="179"/>
      <c r="EE385" s="179"/>
      <c r="EF385" s="179"/>
      <c r="EG385" s="179"/>
      <c r="EH385" s="179"/>
      <c r="EI385" s="179"/>
      <c r="EJ385" s="179"/>
      <c r="EK385" s="179"/>
      <c r="EL385" s="179"/>
      <c r="EM385" s="179"/>
      <c r="EN385" s="179"/>
      <c r="EO385" s="179"/>
      <c r="EP385" s="179"/>
      <c r="EQ385" s="179"/>
      <c r="ER385" s="179"/>
      <c r="ES385" s="179"/>
      <c r="ET385" s="179"/>
      <c r="EU385" s="179"/>
      <c r="EV385" s="179"/>
      <c r="EW385" s="179"/>
      <c r="EX385" s="179"/>
      <c r="EY385" s="179"/>
      <c r="EZ385" s="179"/>
      <c r="FA385" s="179"/>
      <c r="FB385" s="179"/>
      <c r="FC385" s="179"/>
      <c r="FD385" s="179"/>
      <c r="FE385" s="179"/>
      <c r="FF385" s="179"/>
      <c r="FG385" s="179"/>
      <c r="FH385" s="179"/>
      <c r="FI385" s="179"/>
      <c r="FJ385" s="179"/>
      <c r="FK385" s="179"/>
      <c r="FL385" s="179"/>
      <c r="FM385" s="179"/>
      <c r="FN385" s="179"/>
      <c r="FO385" s="179"/>
      <c r="FP385" s="179"/>
      <c r="FQ385" s="179"/>
      <c r="FR385" s="179"/>
      <c r="FS385" s="179"/>
      <c r="FT385" s="179"/>
      <c r="FU385" s="179"/>
      <c r="FV385" s="179"/>
      <c r="FW385" s="179"/>
      <c r="FX385" s="179"/>
      <c r="FY385" s="179"/>
      <c r="FZ385" s="179"/>
      <c r="GA385" s="179"/>
      <c r="GB385" s="179"/>
      <c r="GC385" s="179"/>
      <c r="GD385" s="179"/>
      <c r="GE385" s="179"/>
      <c r="GF385" s="179"/>
      <c r="GG385" s="179"/>
      <c r="GH385" s="179"/>
      <c r="GI385" s="179"/>
      <c r="GJ385" s="179"/>
      <c r="GK385" s="179"/>
      <c r="GL385" s="179"/>
      <c r="GM385" s="179"/>
      <c r="GN385" s="179"/>
      <c r="GO385" s="179"/>
      <c r="GP385" s="179"/>
      <c r="GQ385" s="179"/>
      <c r="GR385" s="179"/>
      <c r="GS385" s="179"/>
      <c r="GT385" s="179"/>
      <c r="GU385" s="179"/>
      <c r="GV385" s="179"/>
      <c r="GW385" s="179"/>
      <c r="GX385" s="179"/>
      <c r="GY385" s="179"/>
      <c r="GZ385" s="179"/>
      <c r="HA385" s="179"/>
      <c r="HB385" s="179"/>
      <c r="HC385" s="179"/>
      <c r="HD385" s="179"/>
      <c r="HE385" s="179"/>
      <c r="HF385" s="179"/>
      <c r="HG385" s="179"/>
      <c r="HH385" s="179"/>
      <c r="HI385" s="179"/>
      <c r="HJ385" s="179"/>
      <c r="HK385" s="179"/>
      <c r="HL385" s="179"/>
      <c r="HM385" s="179"/>
      <c r="HN385" s="179"/>
      <c r="HO385" s="179"/>
      <c r="HP385" s="179"/>
      <c r="HQ385" s="179"/>
      <c r="HR385" s="179"/>
      <c r="HS385" s="179"/>
      <c r="HT385" s="179"/>
      <c r="HU385" s="179"/>
      <c r="HV385" s="179"/>
      <c r="HW385" s="179"/>
      <c r="HX385" s="179"/>
      <c r="HY385" s="179"/>
      <c r="HZ385" s="179"/>
      <c r="IA385" s="179"/>
      <c r="IB385" s="179"/>
      <c r="IC385" s="179"/>
      <c r="ID385" s="179"/>
      <c r="IE385" s="179"/>
      <c r="IF385" s="179"/>
      <c r="IG385" s="179"/>
      <c r="IH385" s="179"/>
      <c r="II385" s="179"/>
      <c r="IJ385" s="179"/>
      <c r="IK385" s="179"/>
      <c r="IL385" s="179"/>
      <c r="IM385" s="179"/>
      <c r="IN385" s="179"/>
      <c r="IO385" s="179"/>
      <c r="IP385" s="179"/>
    </row>
    <row r="386" spans="1:250">
      <c r="A386" s="325" t="s">
        <v>724</v>
      </c>
      <c r="B386" s="194">
        <f>52939.99*1.13</f>
        <v>59822.188699999992</v>
      </c>
      <c r="C386" s="179"/>
      <c r="D386" s="17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79"/>
      <c r="AT386" s="179"/>
      <c r="AU386" s="179"/>
      <c r="AV386" s="179"/>
      <c r="AW386" s="179"/>
      <c r="AX386" s="179"/>
      <c r="AY386" s="179"/>
      <c r="AZ386" s="179"/>
      <c r="BA386" s="179"/>
      <c r="BB386" s="179"/>
      <c r="BC386" s="179"/>
      <c r="BD386" s="179"/>
      <c r="BE386" s="179"/>
      <c r="BF386" s="179"/>
      <c r="BG386" s="179"/>
      <c r="BH386" s="179"/>
      <c r="BI386" s="179"/>
      <c r="BJ386" s="179"/>
      <c r="BK386" s="179"/>
      <c r="BL386" s="179"/>
      <c r="BM386" s="179"/>
      <c r="BN386" s="179"/>
      <c r="BO386" s="179"/>
      <c r="BP386" s="179"/>
      <c r="BQ386" s="179"/>
      <c r="BR386" s="179"/>
      <c r="BS386" s="179"/>
      <c r="BT386" s="179"/>
      <c r="BU386" s="179"/>
      <c r="BV386" s="179"/>
      <c r="BW386" s="179"/>
      <c r="BX386" s="179"/>
      <c r="BY386" s="179"/>
      <c r="BZ386" s="179"/>
      <c r="CA386" s="179"/>
      <c r="CB386" s="179"/>
      <c r="CC386" s="179"/>
      <c r="CD386" s="179"/>
      <c r="CE386" s="179"/>
      <c r="CF386" s="179"/>
      <c r="CG386" s="179"/>
      <c r="CH386" s="179"/>
      <c r="CI386" s="179"/>
      <c r="CJ386" s="179"/>
      <c r="CK386" s="179"/>
      <c r="CL386" s="179"/>
      <c r="CM386" s="179"/>
      <c r="CN386" s="179"/>
      <c r="CO386" s="179"/>
      <c r="CP386" s="179"/>
      <c r="CQ386" s="179"/>
      <c r="CR386" s="179"/>
      <c r="CS386" s="179"/>
      <c r="CT386" s="179"/>
      <c r="CU386" s="179"/>
      <c r="CV386" s="179"/>
      <c r="CW386" s="179"/>
      <c r="CX386" s="179"/>
      <c r="CY386" s="179"/>
      <c r="CZ386" s="179"/>
      <c r="DA386" s="179"/>
      <c r="DB386" s="179"/>
      <c r="DC386" s="179"/>
      <c r="DD386" s="179"/>
      <c r="DE386" s="179"/>
      <c r="DF386" s="179"/>
      <c r="DG386" s="179"/>
      <c r="DH386" s="179"/>
      <c r="DI386" s="179"/>
      <c r="DJ386" s="179"/>
      <c r="DK386" s="179"/>
      <c r="DL386" s="179"/>
      <c r="DM386" s="179"/>
      <c r="DN386" s="179"/>
      <c r="DO386" s="179"/>
      <c r="DP386" s="179"/>
      <c r="DQ386" s="179"/>
      <c r="DR386" s="179"/>
      <c r="DS386" s="179"/>
      <c r="DT386" s="179"/>
      <c r="DU386" s="179"/>
      <c r="DV386" s="179"/>
      <c r="DW386" s="179"/>
      <c r="DX386" s="179"/>
      <c r="DY386" s="179"/>
      <c r="DZ386" s="179"/>
      <c r="EA386" s="179"/>
      <c r="EB386" s="179"/>
      <c r="EC386" s="179"/>
      <c r="ED386" s="179"/>
      <c r="EE386" s="179"/>
      <c r="EF386" s="179"/>
      <c r="EG386" s="179"/>
      <c r="EH386" s="179"/>
      <c r="EI386" s="179"/>
      <c r="EJ386" s="179"/>
      <c r="EK386" s="179"/>
      <c r="EL386" s="179"/>
      <c r="EM386" s="179"/>
      <c r="EN386" s="179"/>
      <c r="EO386" s="179"/>
      <c r="EP386" s="179"/>
      <c r="EQ386" s="179"/>
      <c r="ER386" s="179"/>
      <c r="ES386" s="179"/>
      <c r="ET386" s="179"/>
      <c r="EU386" s="179"/>
      <c r="EV386" s="179"/>
      <c r="EW386" s="179"/>
      <c r="EX386" s="179"/>
      <c r="EY386" s="179"/>
      <c r="EZ386" s="179"/>
      <c r="FA386" s="179"/>
      <c r="FB386" s="179"/>
      <c r="FC386" s="179"/>
      <c r="FD386" s="179"/>
      <c r="FE386" s="179"/>
      <c r="FF386" s="179"/>
      <c r="FG386" s="179"/>
      <c r="FH386" s="179"/>
      <c r="FI386" s="179"/>
      <c r="FJ386" s="179"/>
      <c r="FK386" s="179"/>
      <c r="FL386" s="179"/>
      <c r="FM386" s="179"/>
      <c r="FN386" s="179"/>
      <c r="FO386" s="179"/>
      <c r="FP386" s="179"/>
      <c r="FQ386" s="179"/>
      <c r="FR386" s="179"/>
      <c r="FS386" s="179"/>
      <c r="FT386" s="179"/>
      <c r="FU386" s="179"/>
      <c r="FV386" s="179"/>
      <c r="FW386" s="179"/>
      <c r="FX386" s="179"/>
      <c r="FY386" s="179"/>
      <c r="FZ386" s="179"/>
      <c r="GA386" s="179"/>
      <c r="GB386" s="179"/>
      <c r="GC386" s="179"/>
      <c r="GD386" s="179"/>
      <c r="GE386" s="179"/>
      <c r="GF386" s="179"/>
      <c r="GG386" s="179"/>
      <c r="GH386" s="179"/>
      <c r="GI386" s="179"/>
      <c r="GJ386" s="179"/>
      <c r="GK386" s="179"/>
      <c r="GL386" s="179"/>
      <c r="GM386" s="179"/>
      <c r="GN386" s="179"/>
      <c r="GO386" s="179"/>
      <c r="GP386" s="179"/>
      <c r="GQ386" s="179"/>
      <c r="GR386" s="179"/>
      <c r="GS386" s="179"/>
      <c r="GT386" s="179"/>
      <c r="GU386" s="179"/>
      <c r="GV386" s="179"/>
      <c r="GW386" s="179"/>
      <c r="GX386" s="179"/>
      <c r="GY386" s="179"/>
      <c r="GZ386" s="179"/>
      <c r="HA386" s="179"/>
      <c r="HB386" s="179"/>
      <c r="HC386" s="179"/>
      <c r="HD386" s="179"/>
      <c r="HE386" s="179"/>
      <c r="HF386" s="179"/>
      <c r="HG386" s="179"/>
      <c r="HH386" s="179"/>
      <c r="HI386" s="179"/>
      <c r="HJ386" s="179"/>
      <c r="HK386" s="179"/>
      <c r="HL386" s="179"/>
      <c r="HM386" s="179"/>
      <c r="HN386" s="179"/>
      <c r="HO386" s="179"/>
      <c r="HP386" s="179"/>
      <c r="HQ386" s="179"/>
      <c r="HR386" s="179"/>
      <c r="HS386" s="179"/>
      <c r="HT386" s="179"/>
      <c r="HU386" s="179"/>
      <c r="HV386" s="179"/>
      <c r="HW386" s="179"/>
      <c r="HX386" s="179"/>
      <c r="HY386" s="179"/>
      <c r="HZ386" s="179"/>
      <c r="IA386" s="179"/>
      <c r="IB386" s="179"/>
      <c r="IC386" s="179"/>
      <c r="ID386" s="179"/>
      <c r="IE386" s="179"/>
      <c r="IF386" s="179"/>
      <c r="IG386" s="179"/>
      <c r="IH386" s="179"/>
      <c r="II386" s="179"/>
      <c r="IJ386" s="179"/>
      <c r="IK386" s="179"/>
      <c r="IL386" s="179"/>
      <c r="IM386" s="179"/>
      <c r="IN386" s="179"/>
      <c r="IO386" s="179"/>
      <c r="IP386" s="179"/>
    </row>
    <row r="387" spans="1:250">
      <c r="A387" s="325" t="s">
        <v>1599</v>
      </c>
      <c r="B387" s="194">
        <v>736808.85</v>
      </c>
      <c r="C387" s="179"/>
      <c r="D387" s="179"/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79"/>
      <c r="AT387" s="179"/>
      <c r="AU387" s="179"/>
      <c r="AV387" s="179"/>
      <c r="AW387" s="179"/>
      <c r="AX387" s="179"/>
      <c r="AY387" s="179"/>
      <c r="AZ387" s="179"/>
      <c r="BA387" s="179"/>
      <c r="BB387" s="179"/>
      <c r="BC387" s="179"/>
      <c r="BD387" s="179"/>
      <c r="BE387" s="179"/>
      <c r="BF387" s="179"/>
      <c r="BG387" s="179"/>
      <c r="BH387" s="179"/>
      <c r="BI387" s="179"/>
      <c r="BJ387" s="179"/>
      <c r="BK387" s="179"/>
      <c r="BL387" s="179"/>
      <c r="BM387" s="179"/>
      <c r="BN387" s="179"/>
      <c r="BO387" s="179"/>
      <c r="BP387" s="179"/>
      <c r="BQ387" s="179"/>
      <c r="BR387" s="179"/>
      <c r="BS387" s="179"/>
      <c r="BT387" s="179"/>
      <c r="BU387" s="179"/>
      <c r="BV387" s="179"/>
      <c r="BW387" s="179"/>
      <c r="BX387" s="179"/>
      <c r="BY387" s="179"/>
      <c r="BZ387" s="179"/>
      <c r="CA387" s="179"/>
      <c r="CB387" s="179"/>
      <c r="CC387" s="179"/>
      <c r="CD387" s="179"/>
      <c r="CE387" s="179"/>
      <c r="CF387" s="179"/>
      <c r="CG387" s="179"/>
      <c r="CH387" s="179"/>
      <c r="CI387" s="179"/>
      <c r="CJ387" s="179"/>
      <c r="CK387" s="179"/>
      <c r="CL387" s="179"/>
      <c r="CM387" s="179"/>
      <c r="CN387" s="179"/>
      <c r="CO387" s="179"/>
      <c r="CP387" s="179"/>
      <c r="CQ387" s="179"/>
      <c r="CR387" s="179"/>
      <c r="CS387" s="179"/>
      <c r="CT387" s="179"/>
      <c r="CU387" s="179"/>
      <c r="CV387" s="179"/>
      <c r="CW387" s="179"/>
      <c r="CX387" s="179"/>
      <c r="CY387" s="179"/>
      <c r="CZ387" s="179"/>
      <c r="DA387" s="179"/>
      <c r="DB387" s="179"/>
      <c r="DC387" s="179"/>
      <c r="DD387" s="179"/>
      <c r="DE387" s="179"/>
      <c r="DF387" s="179"/>
      <c r="DG387" s="179"/>
      <c r="DH387" s="179"/>
      <c r="DI387" s="179"/>
      <c r="DJ387" s="179"/>
      <c r="DK387" s="179"/>
      <c r="DL387" s="179"/>
      <c r="DM387" s="179"/>
      <c r="DN387" s="179"/>
      <c r="DO387" s="179"/>
      <c r="DP387" s="179"/>
      <c r="DQ387" s="179"/>
      <c r="DR387" s="179"/>
      <c r="DS387" s="179"/>
      <c r="DT387" s="179"/>
      <c r="DU387" s="179"/>
      <c r="DV387" s="179"/>
      <c r="DW387" s="179"/>
      <c r="DX387" s="179"/>
      <c r="DY387" s="179"/>
      <c r="DZ387" s="179"/>
      <c r="EA387" s="179"/>
      <c r="EB387" s="179"/>
      <c r="EC387" s="179"/>
      <c r="ED387" s="179"/>
      <c r="EE387" s="179"/>
      <c r="EF387" s="179"/>
      <c r="EG387" s="179"/>
      <c r="EH387" s="179"/>
      <c r="EI387" s="179"/>
      <c r="EJ387" s="179"/>
      <c r="EK387" s="179"/>
      <c r="EL387" s="179"/>
      <c r="EM387" s="179"/>
      <c r="EN387" s="179"/>
      <c r="EO387" s="179"/>
      <c r="EP387" s="179"/>
      <c r="EQ387" s="179"/>
      <c r="ER387" s="179"/>
      <c r="ES387" s="179"/>
      <c r="ET387" s="179"/>
      <c r="EU387" s="179"/>
      <c r="EV387" s="179"/>
      <c r="EW387" s="179"/>
      <c r="EX387" s="179"/>
      <c r="EY387" s="179"/>
      <c r="EZ387" s="179"/>
      <c r="FA387" s="179"/>
      <c r="FB387" s="179"/>
      <c r="FC387" s="179"/>
      <c r="FD387" s="179"/>
      <c r="FE387" s="179"/>
      <c r="FF387" s="179"/>
      <c r="FG387" s="179"/>
      <c r="FH387" s="179"/>
      <c r="FI387" s="179"/>
      <c r="FJ387" s="179"/>
      <c r="FK387" s="179"/>
      <c r="FL387" s="179"/>
      <c r="FM387" s="179"/>
      <c r="FN387" s="179"/>
      <c r="FO387" s="179"/>
      <c r="FP387" s="179"/>
      <c r="FQ387" s="179"/>
      <c r="FR387" s="179"/>
      <c r="FS387" s="179"/>
      <c r="FT387" s="179"/>
      <c r="FU387" s="179"/>
      <c r="FV387" s="179"/>
      <c r="FW387" s="179"/>
      <c r="FX387" s="179"/>
      <c r="FY387" s="179"/>
      <c r="FZ387" s="179"/>
      <c r="GA387" s="179"/>
      <c r="GB387" s="179"/>
      <c r="GC387" s="179"/>
      <c r="GD387" s="179"/>
      <c r="GE387" s="179"/>
      <c r="GF387" s="179"/>
      <c r="GG387" s="179"/>
      <c r="GH387" s="179"/>
      <c r="GI387" s="179"/>
      <c r="GJ387" s="179"/>
      <c r="GK387" s="179"/>
      <c r="GL387" s="179"/>
      <c r="GM387" s="179"/>
      <c r="GN387" s="179"/>
      <c r="GO387" s="179"/>
      <c r="GP387" s="179"/>
      <c r="GQ387" s="179"/>
      <c r="GR387" s="179"/>
      <c r="GS387" s="179"/>
      <c r="GT387" s="179"/>
      <c r="GU387" s="179"/>
      <c r="GV387" s="179"/>
      <c r="GW387" s="179"/>
      <c r="GX387" s="179"/>
      <c r="GY387" s="179"/>
      <c r="GZ387" s="179"/>
      <c r="HA387" s="179"/>
      <c r="HB387" s="179"/>
      <c r="HC387" s="179"/>
      <c r="HD387" s="179"/>
      <c r="HE387" s="179"/>
      <c r="HF387" s="179"/>
      <c r="HG387" s="179"/>
      <c r="HH387" s="179"/>
      <c r="HI387" s="179"/>
      <c r="HJ387" s="179"/>
      <c r="HK387" s="179"/>
      <c r="HL387" s="179"/>
      <c r="HM387" s="179"/>
      <c r="HN387" s="179"/>
      <c r="HO387" s="179"/>
      <c r="HP387" s="179"/>
      <c r="HQ387" s="179"/>
      <c r="HR387" s="179"/>
      <c r="HS387" s="179"/>
      <c r="HT387" s="179"/>
      <c r="HU387" s="179"/>
      <c r="HV387" s="179"/>
      <c r="HW387" s="179"/>
      <c r="HX387" s="179"/>
      <c r="HY387" s="179"/>
      <c r="HZ387" s="179"/>
      <c r="IA387" s="179"/>
      <c r="IB387" s="179"/>
      <c r="IC387" s="179"/>
      <c r="ID387" s="179"/>
      <c r="IE387" s="179"/>
      <c r="IF387" s="179"/>
      <c r="IG387" s="179"/>
      <c r="IH387" s="179"/>
      <c r="II387" s="179"/>
      <c r="IJ387" s="179"/>
      <c r="IK387" s="179"/>
      <c r="IL387" s="179"/>
      <c r="IM387" s="179"/>
      <c r="IN387" s="179"/>
      <c r="IO387" s="179"/>
      <c r="IP387" s="179"/>
    </row>
    <row r="388" spans="1:250" s="75" customFormat="1">
      <c r="A388" s="542" t="s">
        <v>1762</v>
      </c>
      <c r="B388" s="194">
        <f>B374-B376-B387</f>
        <v>-988974.76331254409</v>
      </c>
      <c r="C388" s="197"/>
      <c r="D388" s="197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197"/>
      <c r="AT388" s="197"/>
      <c r="AU388" s="197"/>
      <c r="AV388" s="197"/>
      <c r="AW388" s="197"/>
      <c r="AX388" s="197"/>
      <c r="AY388" s="197"/>
      <c r="AZ388" s="197"/>
      <c r="BA388" s="197"/>
      <c r="BB388" s="197"/>
      <c r="BC388" s="197"/>
      <c r="BD388" s="197"/>
      <c r="BE388" s="197"/>
      <c r="BF388" s="197"/>
      <c r="BG388" s="197"/>
      <c r="BH388" s="197"/>
      <c r="BI388" s="197"/>
      <c r="BJ388" s="197"/>
      <c r="BK388" s="197"/>
      <c r="BL388" s="197"/>
      <c r="BM388" s="197"/>
      <c r="BN388" s="197"/>
      <c r="BO388" s="197"/>
      <c r="BP388" s="197"/>
      <c r="BQ388" s="197"/>
      <c r="BR388" s="197"/>
      <c r="BS388" s="197"/>
      <c r="BT388" s="197"/>
      <c r="BU388" s="197"/>
      <c r="BV388" s="197"/>
      <c r="BW388" s="197"/>
      <c r="BX388" s="197"/>
      <c r="BY388" s="197"/>
      <c r="BZ388" s="197"/>
      <c r="CA388" s="197"/>
      <c r="CB388" s="197"/>
      <c r="CC388" s="197"/>
      <c r="CD388" s="197"/>
      <c r="CE388" s="197"/>
      <c r="CF388" s="197"/>
      <c r="CG388" s="197"/>
      <c r="CH388" s="197"/>
      <c r="CI388" s="197"/>
      <c r="CJ388" s="197"/>
      <c r="CK388" s="197"/>
      <c r="CL388" s="197"/>
      <c r="CM388" s="197"/>
      <c r="CN388" s="197"/>
      <c r="CO388" s="197"/>
      <c r="CP388" s="197"/>
      <c r="CQ388" s="197"/>
      <c r="CR388" s="197"/>
      <c r="CS388" s="197"/>
      <c r="CT388" s="197"/>
      <c r="CU388" s="197"/>
      <c r="CV388" s="197"/>
      <c r="CW388" s="197"/>
      <c r="CX388" s="197"/>
      <c r="CY388" s="197"/>
      <c r="CZ388" s="197"/>
      <c r="DA388" s="197"/>
      <c r="DB388" s="197"/>
      <c r="DC388" s="197"/>
      <c r="DD388" s="197"/>
      <c r="DE388" s="197"/>
      <c r="DF388" s="197"/>
      <c r="DG388" s="197"/>
      <c r="DH388" s="197"/>
      <c r="DI388" s="197"/>
      <c r="DJ388" s="197"/>
      <c r="DK388" s="197"/>
      <c r="DL388" s="197"/>
      <c r="DM388" s="197"/>
      <c r="DN388" s="197"/>
      <c r="DO388" s="197"/>
      <c r="DP388" s="197"/>
      <c r="DQ388" s="197"/>
      <c r="DR388" s="197"/>
      <c r="DS388" s="197"/>
      <c r="DT388" s="197"/>
      <c r="DU388" s="197"/>
      <c r="DV388" s="197"/>
      <c r="DW388" s="197"/>
      <c r="DX388" s="197"/>
      <c r="DY388" s="197"/>
      <c r="DZ388" s="197"/>
      <c r="EA388" s="197"/>
      <c r="EB388" s="197"/>
      <c r="EC388" s="197"/>
      <c r="ED388" s="197"/>
      <c r="EE388" s="197"/>
      <c r="EF388" s="197"/>
      <c r="EG388" s="197"/>
      <c r="EH388" s="197"/>
      <c r="EI388" s="197"/>
      <c r="EJ388" s="197"/>
      <c r="EK388" s="197"/>
      <c r="EL388" s="197"/>
      <c r="EM388" s="197"/>
      <c r="EN388" s="197"/>
      <c r="EO388" s="197"/>
      <c r="EP388" s="197"/>
      <c r="EQ388" s="197"/>
      <c r="ER388" s="197"/>
      <c r="ES388" s="197"/>
      <c r="ET388" s="197"/>
      <c r="EU388" s="197"/>
      <c r="EV388" s="197"/>
      <c r="EW388" s="197"/>
      <c r="EX388" s="197"/>
      <c r="EY388" s="197"/>
      <c r="EZ388" s="197"/>
      <c r="FA388" s="197"/>
      <c r="FB388" s="197"/>
      <c r="FC388" s="197"/>
      <c r="FD388" s="197"/>
      <c r="FE388" s="197"/>
      <c r="FF388" s="197"/>
      <c r="FG388" s="197"/>
      <c r="FH388" s="197"/>
      <c r="FI388" s="197"/>
      <c r="FJ388" s="197"/>
      <c r="FK388" s="197"/>
      <c r="FL388" s="197"/>
      <c r="FM388" s="197"/>
      <c r="FN388" s="197"/>
      <c r="FO388" s="197"/>
      <c r="FP388" s="197"/>
      <c r="FQ388" s="197"/>
      <c r="FR388" s="197"/>
      <c r="FS388" s="197"/>
      <c r="FT388" s="197"/>
      <c r="FU388" s="197"/>
      <c r="FV388" s="197"/>
      <c r="FW388" s="197"/>
      <c r="FX388" s="197"/>
      <c r="FY388" s="197"/>
      <c r="FZ388" s="197"/>
      <c r="GA388" s="197"/>
      <c r="GB388" s="197"/>
      <c r="GC388" s="197"/>
      <c r="GD388" s="197"/>
      <c r="GE388" s="197"/>
      <c r="GF388" s="197"/>
      <c r="GG388" s="197"/>
      <c r="GH388" s="197"/>
      <c r="GI388" s="197"/>
      <c r="GJ388" s="197"/>
      <c r="GK388" s="197"/>
      <c r="GL388" s="197"/>
      <c r="GM388" s="197"/>
      <c r="GN388" s="197"/>
      <c r="GO388" s="197"/>
      <c r="GP388" s="197"/>
      <c r="GQ388" s="197"/>
      <c r="GR388" s="197"/>
      <c r="GS388" s="197"/>
      <c r="GT388" s="197"/>
      <c r="GU388" s="197"/>
      <c r="GV388" s="197"/>
      <c r="GW388" s="197"/>
      <c r="GX388" s="197"/>
      <c r="GY388" s="197"/>
      <c r="GZ388" s="197"/>
      <c r="HA388" s="197"/>
      <c r="HB388" s="197"/>
      <c r="HC388" s="197"/>
      <c r="HD388" s="197"/>
      <c r="HE388" s="197"/>
      <c r="HF388" s="197"/>
      <c r="HG388" s="197"/>
      <c r="HH388" s="197"/>
      <c r="HI388" s="197"/>
      <c r="HJ388" s="197"/>
      <c r="HK388" s="197"/>
      <c r="HL388" s="197"/>
      <c r="HM388" s="197"/>
      <c r="HN388" s="197"/>
      <c r="HO388" s="197"/>
      <c r="HP388" s="197"/>
      <c r="HQ388" s="197"/>
      <c r="HR388" s="197"/>
      <c r="HS388" s="197"/>
      <c r="HT388" s="197"/>
      <c r="HU388" s="197"/>
      <c r="HV388" s="197"/>
      <c r="HW388" s="197"/>
      <c r="HX388" s="197"/>
      <c r="HY388" s="197"/>
      <c r="HZ388" s="197"/>
      <c r="IA388" s="197"/>
      <c r="IB388" s="197"/>
      <c r="IC388" s="197"/>
      <c r="ID388" s="197"/>
      <c r="IE388" s="197"/>
      <c r="IF388" s="197"/>
      <c r="IG388" s="197"/>
      <c r="IH388" s="197"/>
      <c r="II388" s="197"/>
      <c r="IJ388" s="197"/>
      <c r="IK388" s="197"/>
      <c r="IL388" s="197"/>
      <c r="IM388" s="197"/>
    </row>
    <row r="389" spans="1:250" s="75" customFormat="1">
      <c r="A389" s="567"/>
      <c r="B389" s="197"/>
      <c r="C389" s="197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  <c r="AR389" s="197"/>
      <c r="AS389" s="197"/>
      <c r="AT389" s="197"/>
      <c r="AU389" s="197"/>
      <c r="AV389" s="197"/>
      <c r="AW389" s="197"/>
      <c r="AX389" s="197"/>
      <c r="AY389" s="197"/>
      <c r="AZ389" s="197"/>
      <c r="BA389" s="197"/>
      <c r="BB389" s="197"/>
      <c r="BC389" s="197"/>
      <c r="BD389" s="197"/>
      <c r="BE389" s="197"/>
      <c r="BF389" s="197"/>
      <c r="BG389" s="197"/>
      <c r="BH389" s="197"/>
      <c r="BI389" s="197"/>
      <c r="BJ389" s="197"/>
      <c r="BK389" s="197"/>
      <c r="BL389" s="197"/>
      <c r="BM389" s="197"/>
      <c r="BN389" s="197"/>
      <c r="BO389" s="197"/>
      <c r="BP389" s="197"/>
      <c r="BQ389" s="197"/>
      <c r="BR389" s="197"/>
      <c r="BS389" s="197"/>
      <c r="BT389" s="197"/>
      <c r="BU389" s="197"/>
      <c r="BV389" s="197"/>
      <c r="BW389" s="197"/>
      <c r="BX389" s="197"/>
      <c r="BY389" s="197"/>
      <c r="BZ389" s="197"/>
      <c r="CA389" s="197"/>
      <c r="CB389" s="197"/>
      <c r="CC389" s="197"/>
      <c r="CD389" s="197"/>
      <c r="CE389" s="197"/>
      <c r="CF389" s="197"/>
      <c r="CG389" s="197"/>
      <c r="CH389" s="197"/>
      <c r="CI389" s="197"/>
      <c r="CJ389" s="197"/>
      <c r="CK389" s="197"/>
      <c r="CL389" s="197"/>
      <c r="CM389" s="197"/>
      <c r="CN389" s="197"/>
      <c r="CO389" s="197"/>
      <c r="CP389" s="197"/>
      <c r="CQ389" s="197"/>
      <c r="CR389" s="197"/>
      <c r="CS389" s="197"/>
      <c r="CT389" s="197"/>
      <c r="CU389" s="197"/>
      <c r="CV389" s="197"/>
      <c r="CW389" s="197"/>
      <c r="CX389" s="197"/>
      <c r="CY389" s="197"/>
      <c r="CZ389" s="197"/>
      <c r="DA389" s="197"/>
      <c r="DB389" s="197"/>
      <c r="DC389" s="197"/>
      <c r="DD389" s="197"/>
      <c r="DE389" s="197"/>
      <c r="DF389" s="197"/>
      <c r="DG389" s="197"/>
      <c r="DH389" s="197"/>
      <c r="DI389" s="197"/>
      <c r="DJ389" s="197"/>
      <c r="DK389" s="197"/>
      <c r="DL389" s="197"/>
      <c r="DM389" s="197"/>
      <c r="DN389" s="197"/>
      <c r="DO389" s="197"/>
      <c r="DP389" s="197"/>
      <c r="DQ389" s="197"/>
      <c r="DR389" s="197"/>
      <c r="DS389" s="197"/>
      <c r="DT389" s="197"/>
      <c r="DU389" s="197"/>
      <c r="DV389" s="197"/>
      <c r="DW389" s="197"/>
      <c r="DX389" s="197"/>
      <c r="DY389" s="197"/>
      <c r="DZ389" s="197"/>
      <c r="EA389" s="197"/>
      <c r="EB389" s="197"/>
      <c r="EC389" s="197"/>
      <c r="ED389" s="197"/>
      <c r="EE389" s="197"/>
      <c r="EF389" s="197"/>
      <c r="EG389" s="197"/>
      <c r="EH389" s="197"/>
      <c r="EI389" s="197"/>
      <c r="EJ389" s="197"/>
      <c r="EK389" s="197"/>
      <c r="EL389" s="197"/>
      <c r="EM389" s="197"/>
      <c r="EN389" s="197"/>
      <c r="EO389" s="197"/>
      <c r="EP389" s="197"/>
      <c r="EQ389" s="197"/>
      <c r="ER389" s="197"/>
      <c r="ES389" s="197"/>
      <c r="ET389" s="197"/>
      <c r="EU389" s="197"/>
      <c r="EV389" s="197"/>
      <c r="EW389" s="197"/>
      <c r="EX389" s="197"/>
      <c r="EY389" s="197"/>
      <c r="EZ389" s="197"/>
      <c r="FA389" s="197"/>
      <c r="FB389" s="197"/>
      <c r="FC389" s="197"/>
      <c r="FD389" s="197"/>
      <c r="FE389" s="197"/>
      <c r="FF389" s="197"/>
      <c r="FG389" s="197"/>
      <c r="FH389" s="197"/>
      <c r="FI389" s="197"/>
      <c r="FJ389" s="197"/>
      <c r="FK389" s="197"/>
      <c r="FL389" s="197"/>
      <c r="FM389" s="197"/>
      <c r="FN389" s="197"/>
      <c r="FO389" s="197"/>
      <c r="FP389" s="197"/>
      <c r="FQ389" s="197"/>
      <c r="FR389" s="197"/>
      <c r="FS389" s="197"/>
      <c r="FT389" s="197"/>
      <c r="FU389" s="197"/>
      <c r="FV389" s="197"/>
      <c r="FW389" s="197"/>
      <c r="FX389" s="197"/>
      <c r="FY389" s="197"/>
      <c r="FZ389" s="197"/>
      <c r="GA389" s="197"/>
      <c r="GB389" s="197"/>
      <c r="GC389" s="197"/>
      <c r="GD389" s="197"/>
      <c r="GE389" s="197"/>
      <c r="GF389" s="197"/>
      <c r="GG389" s="197"/>
      <c r="GH389" s="197"/>
      <c r="GI389" s="197"/>
      <c r="GJ389" s="197"/>
      <c r="GK389" s="197"/>
      <c r="GL389" s="197"/>
      <c r="GM389" s="197"/>
      <c r="GN389" s="197"/>
      <c r="GO389" s="197"/>
      <c r="GP389" s="197"/>
      <c r="GQ389" s="197"/>
      <c r="GR389" s="197"/>
      <c r="GS389" s="197"/>
      <c r="GT389" s="197"/>
      <c r="GU389" s="197"/>
      <c r="GV389" s="197"/>
      <c r="GW389" s="197"/>
      <c r="GX389" s="197"/>
      <c r="GY389" s="197"/>
      <c r="GZ389" s="197"/>
      <c r="HA389" s="197"/>
      <c r="HB389" s="197"/>
      <c r="HC389" s="197"/>
      <c r="HD389" s="197"/>
      <c r="HE389" s="197"/>
      <c r="HF389" s="197"/>
      <c r="HG389" s="197"/>
      <c r="HH389" s="197"/>
      <c r="HI389" s="197"/>
      <c r="HJ389" s="197"/>
      <c r="HK389" s="197"/>
      <c r="HL389" s="197"/>
      <c r="HM389" s="197"/>
      <c r="HN389" s="197"/>
      <c r="HO389" s="197"/>
      <c r="HP389" s="197"/>
      <c r="HQ389" s="197"/>
      <c r="HR389" s="197"/>
      <c r="HS389" s="197"/>
      <c r="HT389" s="197"/>
      <c r="HU389" s="197"/>
      <c r="HV389" s="197"/>
      <c r="HW389" s="197"/>
      <c r="HX389" s="197"/>
      <c r="HY389" s="197"/>
      <c r="HZ389" s="197"/>
      <c r="IA389" s="197"/>
      <c r="IB389" s="197"/>
      <c r="IC389" s="197"/>
      <c r="ID389" s="197"/>
      <c r="IE389" s="197"/>
      <c r="IF389" s="197"/>
      <c r="IG389" s="197"/>
      <c r="IH389" s="197"/>
      <c r="II389" s="197"/>
      <c r="IJ389" s="197"/>
      <c r="IK389" s="197"/>
      <c r="IL389" s="197"/>
      <c r="IM389" s="197"/>
    </row>
    <row r="390" spans="1:250">
      <c r="A390" s="566" t="s">
        <v>605</v>
      </c>
      <c r="B390" s="179"/>
      <c r="C390" s="179"/>
      <c r="D390" s="179"/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  <c r="AB390" s="179"/>
      <c r="AC390" s="179"/>
      <c r="AD390" s="179"/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  <c r="AP390" s="179"/>
      <c r="AQ390" s="179"/>
      <c r="AR390" s="179"/>
      <c r="AS390" s="179"/>
      <c r="AT390" s="179"/>
      <c r="AU390" s="179"/>
      <c r="AV390" s="179"/>
      <c r="AW390" s="179"/>
      <c r="AX390" s="179"/>
      <c r="AY390" s="179"/>
      <c r="AZ390" s="179"/>
      <c r="BA390" s="179"/>
      <c r="BB390" s="179"/>
      <c r="BC390" s="179"/>
      <c r="BD390" s="179"/>
      <c r="BE390" s="179"/>
      <c r="BF390" s="179"/>
      <c r="BG390" s="179"/>
      <c r="BH390" s="179"/>
      <c r="BI390" s="179"/>
      <c r="BJ390" s="179"/>
      <c r="BK390" s="179"/>
      <c r="BL390" s="179"/>
      <c r="BM390" s="179"/>
      <c r="BN390" s="179"/>
      <c r="BO390" s="179"/>
      <c r="BP390" s="179"/>
      <c r="BQ390" s="179"/>
      <c r="BR390" s="179"/>
      <c r="BS390" s="179"/>
      <c r="BT390" s="179"/>
      <c r="BU390" s="179"/>
      <c r="BV390" s="179"/>
      <c r="BW390" s="179"/>
      <c r="BX390" s="179"/>
      <c r="BY390" s="179"/>
      <c r="BZ390" s="179"/>
      <c r="CA390" s="179"/>
      <c r="CB390" s="179"/>
      <c r="CC390" s="179"/>
      <c r="CD390" s="179"/>
      <c r="CE390" s="179"/>
      <c r="CF390" s="179"/>
      <c r="CG390" s="179"/>
      <c r="CH390" s="179"/>
      <c r="CI390" s="179"/>
      <c r="CJ390" s="179"/>
      <c r="CK390" s="179"/>
      <c r="CL390" s="179"/>
      <c r="CM390" s="179"/>
      <c r="CN390" s="179"/>
      <c r="CO390" s="179"/>
      <c r="CP390" s="179"/>
      <c r="CQ390" s="179"/>
      <c r="CR390" s="179"/>
      <c r="CS390" s="179"/>
      <c r="CT390" s="179"/>
      <c r="CU390" s="179"/>
      <c r="CV390" s="179"/>
      <c r="CW390" s="179"/>
      <c r="CX390" s="179"/>
      <c r="CY390" s="179"/>
      <c r="CZ390" s="179"/>
      <c r="DA390" s="179"/>
      <c r="DB390" s="179"/>
      <c r="DC390" s="179"/>
      <c r="DD390" s="179"/>
      <c r="DE390" s="179"/>
      <c r="DF390" s="179"/>
      <c r="DG390" s="179"/>
      <c r="DH390" s="179"/>
      <c r="DI390" s="179"/>
      <c r="DJ390" s="179"/>
      <c r="DK390" s="179"/>
      <c r="DL390" s="179"/>
      <c r="DM390" s="179"/>
      <c r="DN390" s="179"/>
      <c r="DO390" s="179"/>
      <c r="DP390" s="179"/>
      <c r="DQ390" s="179"/>
      <c r="DR390" s="179"/>
      <c r="DS390" s="179"/>
      <c r="DT390" s="179"/>
      <c r="DU390" s="179"/>
      <c r="DV390" s="179"/>
      <c r="DW390" s="179"/>
      <c r="DX390" s="179"/>
      <c r="DY390" s="179"/>
      <c r="DZ390" s="179"/>
      <c r="EA390" s="179"/>
      <c r="EB390" s="179"/>
      <c r="EC390" s="179"/>
      <c r="ED390" s="179"/>
      <c r="EE390" s="179"/>
      <c r="EF390" s="179"/>
      <c r="EG390" s="179"/>
      <c r="EH390" s="179"/>
      <c r="EI390" s="179"/>
      <c r="EJ390" s="179"/>
      <c r="EK390" s="179"/>
      <c r="EL390" s="179"/>
      <c r="EM390" s="179"/>
      <c r="EN390" s="179"/>
      <c r="EO390" s="179"/>
      <c r="EP390" s="179"/>
      <c r="EQ390" s="179"/>
      <c r="ER390" s="179"/>
      <c r="ES390" s="179"/>
      <c r="ET390" s="179"/>
      <c r="EU390" s="179"/>
      <c r="EV390" s="179"/>
      <c r="EW390" s="179"/>
      <c r="EX390" s="179"/>
      <c r="EY390" s="179"/>
      <c r="EZ390" s="179"/>
      <c r="FA390" s="179"/>
      <c r="FB390" s="179"/>
      <c r="FC390" s="179"/>
      <c r="FD390" s="179"/>
      <c r="FE390" s="179"/>
      <c r="FF390" s="179"/>
      <c r="FG390" s="179"/>
      <c r="FH390" s="179"/>
      <c r="FI390" s="179"/>
      <c r="FJ390" s="179"/>
      <c r="FK390" s="179"/>
      <c r="FL390" s="179"/>
      <c r="FM390" s="179"/>
      <c r="FN390" s="179"/>
      <c r="FO390" s="179"/>
      <c r="FP390" s="179"/>
      <c r="FQ390" s="179"/>
      <c r="FR390" s="179"/>
      <c r="FS390" s="179"/>
      <c r="FT390" s="179"/>
      <c r="FU390" s="179"/>
      <c r="FV390" s="179"/>
      <c r="FW390" s="179"/>
      <c r="FX390" s="179"/>
      <c r="FY390" s="179"/>
      <c r="FZ390" s="179"/>
      <c r="GA390" s="179"/>
      <c r="GB390" s="179"/>
      <c r="GC390" s="179"/>
      <c r="GD390" s="179"/>
      <c r="GE390" s="179"/>
      <c r="GF390" s="179"/>
      <c r="GG390" s="179"/>
      <c r="GH390" s="179"/>
      <c r="GI390" s="179"/>
      <c r="GJ390" s="179"/>
      <c r="GK390" s="179"/>
      <c r="GL390" s="179"/>
      <c r="GM390" s="179"/>
      <c r="GN390" s="179"/>
      <c r="GO390" s="179"/>
      <c r="GP390" s="179"/>
      <c r="GQ390" s="179"/>
      <c r="GR390" s="179"/>
      <c r="GS390" s="179"/>
      <c r="GT390" s="179"/>
      <c r="GU390" s="179"/>
      <c r="GV390" s="179"/>
      <c r="GW390" s="179"/>
      <c r="GX390" s="179"/>
      <c r="GY390" s="179"/>
      <c r="GZ390" s="179"/>
      <c r="HA390" s="179"/>
      <c r="HB390" s="179"/>
      <c r="HC390" s="179"/>
      <c r="HD390" s="179"/>
      <c r="HE390" s="179"/>
      <c r="HF390" s="179"/>
      <c r="HG390" s="179"/>
      <c r="HH390" s="179"/>
      <c r="HI390" s="179"/>
      <c r="HJ390" s="179"/>
      <c r="HK390" s="179"/>
      <c r="HL390" s="179"/>
      <c r="HM390" s="179"/>
      <c r="HN390" s="179"/>
      <c r="HO390" s="179"/>
      <c r="HP390" s="179"/>
      <c r="HQ390" s="179"/>
      <c r="HR390" s="179"/>
      <c r="HS390" s="179"/>
      <c r="HT390" s="179"/>
      <c r="HU390" s="179"/>
      <c r="HV390" s="179"/>
      <c r="HW390" s="179"/>
      <c r="HX390" s="179"/>
      <c r="HY390" s="179"/>
      <c r="HZ390" s="179"/>
      <c r="IA390" s="179"/>
      <c r="IB390" s="179"/>
      <c r="IC390" s="179"/>
      <c r="ID390" s="179"/>
      <c r="IE390" s="179"/>
      <c r="IF390" s="179"/>
      <c r="IG390" s="179"/>
      <c r="IH390" s="179"/>
      <c r="II390" s="179"/>
      <c r="IJ390" s="179"/>
      <c r="IK390" s="179"/>
      <c r="IL390" s="179"/>
      <c r="IM390" s="179"/>
      <c r="IN390" s="179"/>
      <c r="IO390" s="179"/>
      <c r="IP390" s="179"/>
    </row>
    <row r="392" spans="1:250">
      <c r="A392" s="321" t="s">
        <v>519</v>
      </c>
      <c r="B392">
        <f>B367*5.94*12</f>
        <v>166873.60800000001</v>
      </c>
    </row>
    <row r="393" spans="1:250">
      <c r="B393" s="276">
        <f>B392+B376</f>
        <v>1517804.1413125442</v>
      </c>
    </row>
    <row r="394" spans="1:250">
      <c r="B394">
        <f>B393/B376</f>
        <v>1.1235249362458468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R384"/>
  <sheetViews>
    <sheetView topLeftCell="A313" workbookViewId="0">
      <selection activeCell="A315" sqref="A315:B339"/>
    </sheetView>
  </sheetViews>
  <sheetFormatPr defaultRowHeight="15"/>
  <cols>
    <col min="1" max="1" width="84.85546875" customWidth="1"/>
    <col min="2" max="2" width="12.7109375" customWidth="1"/>
  </cols>
  <sheetData>
    <row r="1" spans="1:2" s="73" customFormat="1" ht="15.75">
      <c r="A1" s="701" t="s">
        <v>230</v>
      </c>
      <c r="B1" s="701"/>
    </row>
    <row r="2" spans="1:2" s="73" customFormat="1" ht="15.75">
      <c r="A2" s="702" t="s">
        <v>3039</v>
      </c>
      <c r="B2" s="702"/>
    </row>
    <row r="3" spans="1:2" s="86" customFormat="1" ht="15.75">
      <c r="A3" s="702" t="s">
        <v>3040</v>
      </c>
      <c r="B3" s="702"/>
    </row>
    <row r="4" spans="1:2" s="55" customFormat="1" ht="15.75">
      <c r="A4" s="624"/>
      <c r="B4" s="74"/>
    </row>
    <row r="5" spans="1:2" ht="46.5" customHeight="1">
      <c r="A5" s="620" t="s">
        <v>229</v>
      </c>
      <c r="B5" s="82" t="s">
        <v>523</v>
      </c>
    </row>
    <row r="6" spans="1:2">
      <c r="A6" s="224" t="s">
        <v>229</v>
      </c>
      <c r="B6" s="72"/>
    </row>
    <row r="7" spans="1:2">
      <c r="A7" s="191" t="s">
        <v>0</v>
      </c>
      <c r="B7" s="72"/>
    </row>
    <row r="8" spans="1:2">
      <c r="A8" s="623" t="s">
        <v>29</v>
      </c>
      <c r="B8" s="72"/>
    </row>
    <row r="9" spans="1:2">
      <c r="A9" s="191" t="s">
        <v>56</v>
      </c>
      <c r="B9" s="72"/>
    </row>
    <row r="10" spans="1:2">
      <c r="A10" s="623" t="s">
        <v>57</v>
      </c>
      <c r="B10" s="72"/>
    </row>
    <row r="11" spans="1:2" s="73" customFormat="1" ht="28.5">
      <c r="A11" s="626" t="s">
        <v>3041</v>
      </c>
      <c r="B11" s="129">
        <v>2</v>
      </c>
    </row>
    <row r="12" spans="1:2" s="73" customFormat="1">
      <c r="A12" s="72" t="s">
        <v>3042</v>
      </c>
      <c r="B12" s="72">
        <v>4</v>
      </c>
    </row>
    <row r="13" spans="1:2" s="73" customFormat="1" ht="31.5" customHeight="1">
      <c r="A13" s="630" t="s">
        <v>3066</v>
      </c>
      <c r="B13" s="129">
        <v>2</v>
      </c>
    </row>
    <row r="14" spans="1:2" s="73" customFormat="1" ht="31.5" customHeight="1">
      <c r="A14" s="630" t="s">
        <v>3090</v>
      </c>
      <c r="B14" s="129">
        <v>1</v>
      </c>
    </row>
    <row r="15" spans="1:2" s="73" customFormat="1" ht="15.75" thickBot="1">
      <c r="A15" s="132" t="s">
        <v>3067</v>
      </c>
      <c r="B15" s="129">
        <v>1</v>
      </c>
    </row>
    <row r="16" spans="1:2" s="73" customFormat="1" ht="28.5">
      <c r="A16" s="131" t="s">
        <v>3068</v>
      </c>
      <c r="B16" s="72">
        <v>3</v>
      </c>
    </row>
    <row r="17" spans="1:3" s="73" customFormat="1">
      <c r="A17" s="625" t="s">
        <v>3092</v>
      </c>
      <c r="B17" s="72">
        <v>2</v>
      </c>
    </row>
    <row r="18" spans="1:3" s="73" customFormat="1">
      <c r="A18" s="625" t="s">
        <v>3091</v>
      </c>
      <c r="B18" s="72">
        <v>2</v>
      </c>
    </row>
    <row r="19" spans="1:3" s="73" customFormat="1" ht="28.5">
      <c r="A19" s="625" t="s">
        <v>3148</v>
      </c>
      <c r="B19" s="72">
        <v>1</v>
      </c>
    </row>
    <row r="20" spans="1:3" s="73" customFormat="1">
      <c r="A20" s="625" t="s">
        <v>3137</v>
      </c>
      <c r="B20" s="72">
        <v>2</v>
      </c>
    </row>
    <row r="21" spans="1:3" s="73" customFormat="1">
      <c r="A21" s="132" t="s">
        <v>3207</v>
      </c>
      <c r="B21" s="72">
        <v>4</v>
      </c>
      <c r="C21" s="73">
        <v>0.5</v>
      </c>
    </row>
    <row r="22" spans="1:3" s="73" customFormat="1">
      <c r="A22" s="628" t="s">
        <v>3227</v>
      </c>
      <c r="B22" s="72">
        <f>4+4</f>
        <v>8</v>
      </c>
    </row>
    <row r="23" spans="1:3" s="73" customFormat="1" ht="28.5">
      <c r="A23" s="628" t="s">
        <v>3226</v>
      </c>
      <c r="B23" s="72">
        <v>1</v>
      </c>
    </row>
    <row r="24" spans="1:3" s="73" customFormat="1">
      <c r="A24" s="628" t="s">
        <v>3228</v>
      </c>
      <c r="B24" s="72">
        <v>12</v>
      </c>
    </row>
    <row r="25" spans="1:3" s="73" customFormat="1">
      <c r="A25" s="628" t="s">
        <v>3229</v>
      </c>
      <c r="B25" s="72">
        <v>2</v>
      </c>
    </row>
    <row r="26" spans="1:3" s="73" customFormat="1" ht="28.5">
      <c r="A26" s="628" t="s">
        <v>3258</v>
      </c>
      <c r="B26" s="72">
        <v>1</v>
      </c>
    </row>
    <row r="27" spans="1:3" s="73" customFormat="1">
      <c r="A27" s="628" t="s">
        <v>3257</v>
      </c>
      <c r="B27" s="72">
        <v>1</v>
      </c>
    </row>
    <row r="28" spans="1:3" s="73" customFormat="1">
      <c r="A28" s="628" t="s">
        <v>3256</v>
      </c>
      <c r="B28" s="72">
        <v>2</v>
      </c>
    </row>
    <row r="29" spans="1:3" s="73" customFormat="1">
      <c r="A29" s="628" t="s">
        <v>3288</v>
      </c>
      <c r="B29" s="72">
        <v>4</v>
      </c>
    </row>
    <row r="30" spans="1:3" s="73" customFormat="1" ht="18" customHeight="1">
      <c r="A30" s="628" t="s">
        <v>3287</v>
      </c>
      <c r="B30" s="72">
        <v>2</v>
      </c>
    </row>
    <row r="31" spans="1:3" s="73" customFormat="1" ht="18" customHeight="1">
      <c r="A31" s="628" t="s">
        <v>3289</v>
      </c>
      <c r="B31" s="72">
        <v>1</v>
      </c>
    </row>
    <row r="32" spans="1:3" s="73" customFormat="1" ht="30" customHeight="1">
      <c r="A32" s="628" t="s">
        <v>3290</v>
      </c>
      <c r="B32" s="72">
        <v>2</v>
      </c>
    </row>
    <row r="33" spans="1:3" s="73" customFormat="1" ht="18.75" customHeight="1">
      <c r="A33" s="637" t="s">
        <v>3291</v>
      </c>
      <c r="B33" s="72">
        <v>4</v>
      </c>
    </row>
    <row r="34" spans="1:3" s="73" customFormat="1">
      <c r="A34" s="622" t="s">
        <v>66</v>
      </c>
      <c r="B34" s="72"/>
    </row>
    <row r="35" spans="1:3" s="73" customFormat="1" ht="28.5">
      <c r="A35" s="156" t="s">
        <v>3161</v>
      </c>
      <c r="B35" s="72">
        <v>1</v>
      </c>
    </row>
    <row r="36" spans="1:3" s="73" customFormat="1" ht="28.5">
      <c r="A36" s="156" t="s">
        <v>3043</v>
      </c>
      <c r="B36" s="72">
        <v>2</v>
      </c>
      <c r="C36" s="73">
        <v>12</v>
      </c>
    </row>
    <row r="37" spans="1:3" s="73" customFormat="1">
      <c r="A37" s="400" t="s">
        <v>3138</v>
      </c>
      <c r="B37" s="72">
        <v>2</v>
      </c>
      <c r="C37" s="73">
        <v>22</v>
      </c>
    </row>
    <row r="38" spans="1:3" s="73" customFormat="1">
      <c r="A38" s="400" t="s">
        <v>3208</v>
      </c>
      <c r="B38" s="72">
        <v>2</v>
      </c>
      <c r="C38" s="73">
        <v>17</v>
      </c>
    </row>
    <row r="39" spans="1:3" s="73" customFormat="1">
      <c r="A39" s="157" t="s">
        <v>3217</v>
      </c>
      <c r="B39" s="72">
        <v>1</v>
      </c>
      <c r="C39" s="73">
        <v>31</v>
      </c>
    </row>
    <row r="40" spans="1:3" s="73" customFormat="1">
      <c r="A40" s="623" t="s">
        <v>590</v>
      </c>
      <c r="B40" s="72"/>
    </row>
    <row r="41" spans="1:3" s="73" customFormat="1" ht="28.5">
      <c r="A41" s="621" t="s">
        <v>3044</v>
      </c>
      <c r="B41" s="72">
        <v>1</v>
      </c>
    </row>
    <row r="42" spans="1:3" s="73" customFormat="1" ht="28.5">
      <c r="A42" s="621" t="s">
        <v>3045</v>
      </c>
      <c r="B42" s="72">
        <v>2</v>
      </c>
    </row>
    <row r="43" spans="1:3" s="73" customFormat="1" ht="28.5">
      <c r="A43" s="621" t="s">
        <v>3046</v>
      </c>
      <c r="B43" s="72">
        <v>4</v>
      </c>
    </row>
    <row r="44" spans="1:3" s="73" customFormat="1">
      <c r="A44" s="621" t="s">
        <v>3047</v>
      </c>
      <c r="B44" s="72">
        <v>6</v>
      </c>
    </row>
    <row r="45" spans="1:3" s="73" customFormat="1">
      <c r="A45" s="621" t="s">
        <v>3048</v>
      </c>
      <c r="B45" s="72">
        <v>4</v>
      </c>
    </row>
    <row r="46" spans="1:3" s="73" customFormat="1" ht="28.5">
      <c r="A46" s="621" t="s">
        <v>3049</v>
      </c>
      <c r="B46" s="72">
        <v>6</v>
      </c>
    </row>
    <row r="47" spans="1:3" s="73" customFormat="1" ht="28.5">
      <c r="A47" s="627" t="s">
        <v>3160</v>
      </c>
      <c r="B47" s="72">
        <v>2</v>
      </c>
    </row>
    <row r="48" spans="1:3" s="73" customFormat="1" ht="28.5">
      <c r="A48" s="621" t="s">
        <v>3050</v>
      </c>
      <c r="B48" s="72">
        <v>4</v>
      </c>
    </row>
    <row r="49" spans="1:2" s="73" customFormat="1">
      <c r="A49" s="621" t="s">
        <v>3051</v>
      </c>
      <c r="B49" s="72">
        <v>2</v>
      </c>
    </row>
    <row r="50" spans="1:2" s="73" customFormat="1" ht="28.5">
      <c r="A50" s="621" t="s">
        <v>3052</v>
      </c>
      <c r="B50" s="72">
        <v>2</v>
      </c>
    </row>
    <row r="51" spans="1:2" s="73" customFormat="1" ht="28.5">
      <c r="A51" s="621" t="s">
        <v>3053</v>
      </c>
      <c r="B51" s="72">
        <v>1</v>
      </c>
    </row>
    <row r="52" spans="1:2" s="73" customFormat="1" ht="28.5">
      <c r="A52" s="621" t="s">
        <v>3054</v>
      </c>
      <c r="B52" s="72">
        <v>4</v>
      </c>
    </row>
    <row r="53" spans="1:2" s="73" customFormat="1">
      <c r="A53" s="625" t="s">
        <v>3069</v>
      </c>
      <c r="B53" s="72">
        <v>1</v>
      </c>
    </row>
    <row r="54" spans="1:2" s="73" customFormat="1" ht="28.5">
      <c r="A54" s="625" t="s">
        <v>3071</v>
      </c>
      <c r="B54" s="72">
        <v>2</v>
      </c>
    </row>
    <row r="55" spans="1:2" s="73" customFormat="1">
      <c r="A55" s="625" t="s">
        <v>3070</v>
      </c>
      <c r="B55" s="72">
        <v>1</v>
      </c>
    </row>
    <row r="56" spans="1:2" s="73" customFormat="1" ht="28.5">
      <c r="A56" s="625" t="s">
        <v>3072</v>
      </c>
      <c r="B56" s="72">
        <v>1</v>
      </c>
    </row>
    <row r="57" spans="1:2" s="73" customFormat="1" ht="22.5" customHeight="1">
      <c r="A57" s="625" t="s">
        <v>3073</v>
      </c>
      <c r="B57" s="72">
        <v>2</v>
      </c>
    </row>
    <row r="58" spans="1:2" s="73" customFormat="1" ht="22.5" customHeight="1">
      <c r="A58" s="625" t="s">
        <v>3074</v>
      </c>
      <c r="B58" s="72">
        <v>3</v>
      </c>
    </row>
    <row r="59" spans="1:2" s="73" customFormat="1" ht="22.5" customHeight="1">
      <c r="A59" s="625" t="s">
        <v>3075</v>
      </c>
      <c r="B59" s="72">
        <v>0.5</v>
      </c>
    </row>
    <row r="60" spans="1:2" s="73" customFormat="1" ht="30" customHeight="1">
      <c r="A60" s="625" t="s">
        <v>3076</v>
      </c>
      <c r="B60" s="72">
        <v>4</v>
      </c>
    </row>
    <row r="61" spans="1:2" s="73" customFormat="1" ht="30" customHeight="1">
      <c r="A61" s="625" t="s">
        <v>3077</v>
      </c>
      <c r="B61" s="72">
        <v>1</v>
      </c>
    </row>
    <row r="62" spans="1:2" s="73" customFormat="1" ht="19.5" customHeight="1">
      <c r="A62" s="625" t="s">
        <v>3093</v>
      </c>
      <c r="B62" s="72">
        <v>2</v>
      </c>
    </row>
    <row r="63" spans="1:2" s="73" customFormat="1" ht="19.5" customHeight="1">
      <c r="A63" s="625" t="s">
        <v>3094</v>
      </c>
      <c r="B63" s="72">
        <v>1</v>
      </c>
    </row>
    <row r="64" spans="1:2" s="73" customFormat="1" ht="36.75" customHeight="1">
      <c r="A64" s="631" t="s">
        <v>3390</v>
      </c>
      <c r="B64" s="72">
        <v>1</v>
      </c>
    </row>
    <row r="65" spans="1:2" s="73" customFormat="1" ht="19.5" customHeight="1">
      <c r="A65" s="625" t="s">
        <v>3095</v>
      </c>
      <c r="B65" s="72">
        <v>2</v>
      </c>
    </row>
    <row r="66" spans="1:2" s="73" customFormat="1" ht="19.5" customHeight="1">
      <c r="A66" s="625" t="s">
        <v>3096</v>
      </c>
      <c r="B66" s="72">
        <v>2</v>
      </c>
    </row>
    <row r="67" spans="1:2" s="73" customFormat="1" ht="19.5" customHeight="1">
      <c r="A67" s="625" t="s">
        <v>3097</v>
      </c>
      <c r="B67" s="72">
        <v>1</v>
      </c>
    </row>
    <row r="68" spans="1:2" s="73" customFormat="1" ht="28.5">
      <c r="A68" s="400" t="s">
        <v>2794</v>
      </c>
      <c r="B68" s="72">
        <v>1</v>
      </c>
    </row>
    <row r="69" spans="1:2" s="73" customFormat="1">
      <c r="A69" s="400" t="s">
        <v>3111</v>
      </c>
      <c r="B69" s="72">
        <v>1</v>
      </c>
    </row>
    <row r="70" spans="1:2" s="73" customFormat="1">
      <c r="A70" s="400" t="s">
        <v>3112</v>
      </c>
      <c r="B70" s="72">
        <v>1</v>
      </c>
    </row>
    <row r="71" spans="1:2" s="73" customFormat="1">
      <c r="A71" s="400" t="s">
        <v>3113</v>
      </c>
      <c r="B71" s="72">
        <v>2</v>
      </c>
    </row>
    <row r="72" spans="1:2" s="73" customFormat="1">
      <c r="A72" s="400" t="s">
        <v>3114</v>
      </c>
      <c r="B72" s="72">
        <v>1</v>
      </c>
    </row>
    <row r="73" spans="1:2" s="73" customFormat="1" ht="28.5">
      <c r="A73" s="400" t="s">
        <v>3115</v>
      </c>
      <c r="B73" s="72">
        <v>1</v>
      </c>
    </row>
    <row r="74" spans="1:2" s="73" customFormat="1" ht="28.5">
      <c r="A74" s="400" t="s">
        <v>3116</v>
      </c>
      <c r="B74" s="72">
        <v>1.5</v>
      </c>
    </row>
    <row r="75" spans="1:2" s="73" customFormat="1">
      <c r="A75" s="400" t="s">
        <v>3117</v>
      </c>
      <c r="B75" s="72">
        <v>1.5</v>
      </c>
    </row>
    <row r="76" spans="1:2" s="73" customFormat="1" ht="28.5">
      <c r="A76" s="400" t="s">
        <v>3118</v>
      </c>
      <c r="B76" s="72">
        <v>2</v>
      </c>
    </row>
    <row r="77" spans="1:2" s="73" customFormat="1">
      <c r="A77" s="400" t="s">
        <v>3119</v>
      </c>
      <c r="B77" s="72">
        <v>2</v>
      </c>
    </row>
    <row r="78" spans="1:2" s="73" customFormat="1">
      <c r="A78" s="400" t="s">
        <v>3120</v>
      </c>
      <c r="B78" s="72">
        <v>1</v>
      </c>
    </row>
    <row r="79" spans="1:2" s="73" customFormat="1" ht="28.5">
      <c r="A79" s="400" t="s">
        <v>2102</v>
      </c>
      <c r="B79" s="72">
        <v>1</v>
      </c>
    </row>
    <row r="80" spans="1:2" s="73" customFormat="1" ht="28.5">
      <c r="A80" s="400" t="s">
        <v>3122</v>
      </c>
      <c r="B80" s="72">
        <v>1</v>
      </c>
    </row>
    <row r="81" spans="1:2" s="73" customFormat="1" ht="28.5">
      <c r="A81" s="400" t="s">
        <v>3121</v>
      </c>
      <c r="B81" s="72">
        <v>1</v>
      </c>
    </row>
    <row r="82" spans="1:2" s="73" customFormat="1">
      <c r="A82" s="400" t="s">
        <v>3123</v>
      </c>
      <c r="B82" s="72">
        <v>1</v>
      </c>
    </row>
    <row r="83" spans="1:2" s="73" customFormat="1">
      <c r="A83" s="400" t="s">
        <v>3124</v>
      </c>
      <c r="B83" s="72">
        <v>1</v>
      </c>
    </row>
    <row r="84" spans="1:2" s="73" customFormat="1">
      <c r="A84" s="400" t="s">
        <v>3125</v>
      </c>
      <c r="B84" s="72">
        <v>1.5</v>
      </c>
    </row>
    <row r="85" spans="1:2" s="73" customFormat="1" ht="28.5">
      <c r="A85" s="400" t="s">
        <v>3126</v>
      </c>
      <c r="B85" s="72">
        <v>2</v>
      </c>
    </row>
    <row r="86" spans="1:2" s="73" customFormat="1" ht="28.5">
      <c r="A86" s="400" t="s">
        <v>3139</v>
      </c>
      <c r="B86" s="72">
        <v>1</v>
      </c>
    </row>
    <row r="87" spans="1:2" s="73" customFormat="1" ht="28.5">
      <c r="A87" s="400" t="s">
        <v>3140</v>
      </c>
      <c r="B87" s="72">
        <v>4</v>
      </c>
    </row>
    <row r="88" spans="1:2" s="73" customFormat="1">
      <c r="A88" s="400" t="s">
        <v>3141</v>
      </c>
      <c r="B88" s="72">
        <v>2</v>
      </c>
    </row>
    <row r="89" spans="1:2" s="73" customFormat="1">
      <c r="A89" s="400" t="s">
        <v>3142</v>
      </c>
      <c r="B89" s="72">
        <v>1</v>
      </c>
    </row>
    <row r="90" spans="1:2" s="73" customFormat="1">
      <c r="A90" s="400" t="s">
        <v>3143</v>
      </c>
      <c r="B90" s="72">
        <v>3</v>
      </c>
    </row>
    <row r="91" spans="1:2" s="73" customFormat="1">
      <c r="A91" s="400" t="s">
        <v>3144</v>
      </c>
      <c r="B91" s="72">
        <v>1</v>
      </c>
    </row>
    <row r="92" spans="1:2" s="73" customFormat="1">
      <c r="A92" s="400" t="s">
        <v>3159</v>
      </c>
      <c r="B92" s="72">
        <v>1</v>
      </c>
    </row>
    <row r="93" spans="1:2" s="73" customFormat="1">
      <c r="A93" s="400" t="s">
        <v>3162</v>
      </c>
      <c r="B93" s="72">
        <v>1</v>
      </c>
    </row>
    <row r="94" spans="1:2" s="73" customFormat="1" ht="28.5">
      <c r="A94" s="400" t="s">
        <v>3163</v>
      </c>
      <c r="B94" s="72">
        <v>1</v>
      </c>
    </row>
    <row r="95" spans="1:2" s="73" customFormat="1" ht="28.5">
      <c r="A95" s="400" t="s">
        <v>3164</v>
      </c>
      <c r="B95" s="72">
        <v>2</v>
      </c>
    </row>
    <row r="96" spans="1:2" s="73" customFormat="1">
      <c r="A96" s="400" t="s">
        <v>3165</v>
      </c>
      <c r="B96" s="72">
        <v>2</v>
      </c>
    </row>
    <row r="97" spans="1:2" s="73" customFormat="1" ht="28.5">
      <c r="A97" s="400" t="s">
        <v>3166</v>
      </c>
      <c r="B97" s="72">
        <v>1</v>
      </c>
    </row>
    <row r="98" spans="1:2" s="73" customFormat="1">
      <c r="A98" s="400" t="s">
        <v>3167</v>
      </c>
      <c r="B98" s="72">
        <v>1</v>
      </c>
    </row>
    <row r="99" spans="1:2" s="73" customFormat="1" ht="21" customHeight="1">
      <c r="A99" s="400" t="s">
        <v>3168</v>
      </c>
      <c r="B99" s="72">
        <v>1</v>
      </c>
    </row>
    <row r="100" spans="1:2" s="73" customFormat="1" ht="21" customHeight="1">
      <c r="A100" s="400" t="s">
        <v>3177</v>
      </c>
      <c r="B100" s="72">
        <v>0.5</v>
      </c>
    </row>
    <row r="101" spans="1:2" s="73" customFormat="1" ht="31.5" customHeight="1">
      <c r="A101" s="400" t="s">
        <v>3178</v>
      </c>
      <c r="B101" s="72">
        <v>0.5</v>
      </c>
    </row>
    <row r="102" spans="1:2" s="73" customFormat="1" ht="33.75" customHeight="1">
      <c r="A102" s="627" t="s">
        <v>2156</v>
      </c>
      <c r="B102" s="72">
        <v>1</v>
      </c>
    </row>
    <row r="103" spans="1:2" s="73" customFormat="1" ht="33.75" customHeight="1">
      <c r="A103" s="627" t="s">
        <v>3179</v>
      </c>
      <c r="B103" s="72">
        <v>1.5</v>
      </c>
    </row>
    <row r="104" spans="1:2" s="73" customFormat="1" ht="33.75" customHeight="1">
      <c r="A104" s="627" t="s">
        <v>3180</v>
      </c>
      <c r="B104" s="72">
        <v>6</v>
      </c>
    </row>
    <row r="105" spans="1:2" s="73" customFormat="1" ht="33.75" customHeight="1">
      <c r="A105" s="627" t="s">
        <v>3181</v>
      </c>
      <c r="B105" s="72">
        <v>4</v>
      </c>
    </row>
    <row r="106" spans="1:2" s="73" customFormat="1" ht="23.25" customHeight="1">
      <c r="A106" s="627" t="s">
        <v>3182</v>
      </c>
      <c r="B106" s="72">
        <v>1</v>
      </c>
    </row>
    <row r="107" spans="1:2" s="73" customFormat="1" ht="23.25" customHeight="1">
      <c r="A107" s="627" t="s">
        <v>3183</v>
      </c>
      <c r="B107" s="72">
        <v>1</v>
      </c>
    </row>
    <row r="108" spans="1:2" s="73" customFormat="1" ht="28.5" customHeight="1">
      <c r="A108" s="627" t="s">
        <v>3184</v>
      </c>
      <c r="B108" s="72">
        <v>2</v>
      </c>
    </row>
    <row r="109" spans="1:2" s="73" customFormat="1" ht="30" customHeight="1">
      <c r="A109" s="627" t="s">
        <v>3185</v>
      </c>
      <c r="B109" s="72">
        <v>2</v>
      </c>
    </row>
    <row r="110" spans="1:2" s="73" customFormat="1" ht="21" customHeight="1">
      <c r="A110" s="627" t="s">
        <v>3195</v>
      </c>
      <c r="B110" s="72">
        <v>2</v>
      </c>
    </row>
    <row r="111" spans="1:2" s="73" customFormat="1" ht="31.5" customHeight="1">
      <c r="A111" s="627" t="s">
        <v>3196</v>
      </c>
      <c r="B111" s="72">
        <v>1</v>
      </c>
    </row>
    <row r="112" spans="1:2" s="73" customFormat="1" ht="31.5" customHeight="1">
      <c r="A112" s="627" t="s">
        <v>3197</v>
      </c>
      <c r="B112" s="72">
        <v>2</v>
      </c>
    </row>
    <row r="113" spans="1:2" s="73" customFormat="1" ht="18" customHeight="1">
      <c r="A113" s="627" t="s">
        <v>3198</v>
      </c>
      <c r="B113" s="72">
        <v>2</v>
      </c>
    </row>
    <row r="114" spans="1:2" s="73" customFormat="1" ht="18" customHeight="1">
      <c r="A114" s="627" t="s">
        <v>3199</v>
      </c>
      <c r="B114" s="72">
        <v>1</v>
      </c>
    </row>
    <row r="115" spans="1:2" s="73" customFormat="1" ht="29.25" customHeight="1">
      <c r="A115" s="627" t="s">
        <v>3200</v>
      </c>
      <c r="B115" s="72">
        <v>2</v>
      </c>
    </row>
    <row r="116" spans="1:2" s="73" customFormat="1" ht="15" customHeight="1">
      <c r="A116" s="627" t="s">
        <v>3209</v>
      </c>
      <c r="B116" s="72">
        <v>2</v>
      </c>
    </row>
    <row r="117" spans="1:2" s="73" customFormat="1" ht="15" customHeight="1">
      <c r="A117" s="627" t="s">
        <v>3210</v>
      </c>
      <c r="B117" s="72">
        <v>4</v>
      </c>
    </row>
    <row r="118" spans="1:2" s="73" customFormat="1" ht="31.5" customHeight="1">
      <c r="A118" s="627" t="s">
        <v>3211</v>
      </c>
      <c r="B118" s="72">
        <v>1</v>
      </c>
    </row>
    <row r="119" spans="1:2" s="73" customFormat="1" ht="29.25" customHeight="1">
      <c r="A119" s="400" t="s">
        <v>2861</v>
      </c>
      <c r="B119" s="72">
        <v>1</v>
      </c>
    </row>
    <row r="120" spans="1:2" s="73" customFormat="1" ht="18" customHeight="1">
      <c r="A120" s="400" t="s">
        <v>3212</v>
      </c>
      <c r="B120" s="72">
        <v>1</v>
      </c>
    </row>
    <row r="121" spans="1:2" s="73" customFormat="1" ht="18" customHeight="1">
      <c r="A121" s="400" t="s">
        <v>3214</v>
      </c>
      <c r="B121" s="72">
        <v>1</v>
      </c>
    </row>
    <row r="122" spans="1:2" s="73" customFormat="1" ht="27.75" customHeight="1">
      <c r="A122" s="400" t="s">
        <v>3213</v>
      </c>
      <c r="B122" s="72">
        <v>1</v>
      </c>
    </row>
    <row r="123" spans="1:2" s="73" customFormat="1" ht="20.25" customHeight="1">
      <c r="A123" s="400" t="s">
        <v>3215</v>
      </c>
      <c r="B123" s="72">
        <v>0.5</v>
      </c>
    </row>
    <row r="124" spans="1:2" s="73" customFormat="1" ht="28.5" customHeight="1">
      <c r="A124" s="400" t="s">
        <v>3216</v>
      </c>
      <c r="B124" s="72">
        <v>1</v>
      </c>
    </row>
    <row r="125" spans="1:2" s="73" customFormat="1" ht="21.75" customHeight="1">
      <c r="A125" s="400" t="s">
        <v>3218</v>
      </c>
      <c r="B125" s="72">
        <v>2</v>
      </c>
    </row>
    <row r="126" spans="1:2" s="73" customFormat="1" ht="21.75" customHeight="1">
      <c r="A126" s="400" t="s">
        <v>3230</v>
      </c>
      <c r="B126" s="72">
        <v>2</v>
      </c>
    </row>
    <row r="127" spans="1:2" s="73" customFormat="1" ht="21.75" customHeight="1">
      <c r="A127" s="400" t="s">
        <v>3232</v>
      </c>
      <c r="B127" s="72">
        <v>3</v>
      </c>
    </row>
    <row r="128" spans="1:2" s="73" customFormat="1" ht="21.75" customHeight="1">
      <c r="A128" s="400" t="s">
        <v>3231</v>
      </c>
      <c r="B128" s="72">
        <v>2</v>
      </c>
    </row>
    <row r="129" spans="1:2" s="73" customFormat="1" ht="14.25" customHeight="1">
      <c r="A129" s="400" t="s">
        <v>3233</v>
      </c>
      <c r="B129" s="72">
        <v>4</v>
      </c>
    </row>
    <row r="130" spans="1:2" s="73" customFormat="1" ht="14.25" customHeight="1">
      <c r="A130" s="400" t="s">
        <v>3235</v>
      </c>
      <c r="B130" s="72">
        <v>4</v>
      </c>
    </row>
    <row r="131" spans="1:2" s="73" customFormat="1" ht="14.25" customHeight="1">
      <c r="A131" s="400" t="s">
        <v>3234</v>
      </c>
      <c r="B131" s="72">
        <v>4</v>
      </c>
    </row>
    <row r="132" spans="1:2" s="73" customFormat="1" ht="30" customHeight="1">
      <c r="A132" s="400" t="s">
        <v>3236</v>
      </c>
      <c r="B132" s="72">
        <v>2</v>
      </c>
    </row>
    <row r="133" spans="1:2" s="73" customFormat="1" ht="30" customHeight="1">
      <c r="A133" s="400" t="s">
        <v>3237</v>
      </c>
      <c r="B133" s="72">
        <v>1</v>
      </c>
    </row>
    <row r="134" spans="1:2" s="73" customFormat="1" ht="30" customHeight="1">
      <c r="A134" s="400" t="s">
        <v>3238</v>
      </c>
      <c r="B134" s="72">
        <v>1</v>
      </c>
    </row>
    <row r="135" spans="1:2" s="73" customFormat="1" ht="30" customHeight="1">
      <c r="A135" s="400" t="s">
        <v>3239</v>
      </c>
      <c r="B135" s="72">
        <v>1</v>
      </c>
    </row>
    <row r="136" spans="1:2" s="73" customFormat="1" ht="18" customHeight="1">
      <c r="A136" s="400" t="s">
        <v>3240</v>
      </c>
      <c r="B136" s="72">
        <v>1</v>
      </c>
    </row>
    <row r="137" spans="1:2" s="73" customFormat="1" ht="32.25" customHeight="1">
      <c r="A137" s="400" t="s">
        <v>3241</v>
      </c>
      <c r="B137" s="72">
        <v>12</v>
      </c>
    </row>
    <row r="138" spans="1:2" s="73" customFormat="1" ht="32.25" customHeight="1">
      <c r="A138" s="400" t="s">
        <v>3242</v>
      </c>
      <c r="B138" s="72">
        <v>1.5</v>
      </c>
    </row>
    <row r="139" spans="1:2" s="73" customFormat="1" ht="21.75" customHeight="1">
      <c r="A139" s="400" t="s">
        <v>3243</v>
      </c>
      <c r="B139" s="72">
        <v>2</v>
      </c>
    </row>
    <row r="140" spans="1:2" s="73" customFormat="1" ht="20.25" customHeight="1">
      <c r="A140" s="400" t="s">
        <v>3244</v>
      </c>
      <c r="B140" s="72">
        <v>1</v>
      </c>
    </row>
    <row r="141" spans="1:2" s="73" customFormat="1" ht="32.25" customHeight="1">
      <c r="A141" s="400" t="s">
        <v>3247</v>
      </c>
      <c r="B141" s="72">
        <v>4</v>
      </c>
    </row>
    <row r="142" spans="1:2" s="73" customFormat="1" ht="19.5" customHeight="1">
      <c r="A142" s="400" t="s">
        <v>3248</v>
      </c>
      <c r="B142" s="72">
        <v>1</v>
      </c>
    </row>
    <row r="143" spans="1:2" s="73" customFormat="1" ht="15.75" customHeight="1">
      <c r="A143" s="400" t="s">
        <v>3245</v>
      </c>
      <c r="B143" s="72">
        <v>2</v>
      </c>
    </row>
    <row r="144" spans="1:2" s="73" customFormat="1" ht="15.75" customHeight="1">
      <c r="A144" s="400" t="s">
        <v>3246</v>
      </c>
      <c r="B144" s="72">
        <v>1</v>
      </c>
    </row>
    <row r="145" spans="1:2" s="73" customFormat="1" ht="15.75" customHeight="1">
      <c r="A145" s="400" t="s">
        <v>3259</v>
      </c>
      <c r="B145" s="72">
        <v>2</v>
      </c>
    </row>
    <row r="146" spans="1:2" s="73" customFormat="1" ht="30.75" customHeight="1">
      <c r="A146" s="400" t="s">
        <v>3260</v>
      </c>
      <c r="B146" s="72">
        <v>1</v>
      </c>
    </row>
    <row r="147" spans="1:2" s="73" customFormat="1" ht="19.5" customHeight="1">
      <c r="A147" s="400" t="s">
        <v>3261</v>
      </c>
      <c r="B147" s="72">
        <v>1</v>
      </c>
    </row>
    <row r="148" spans="1:2" s="73" customFormat="1" ht="19.5" customHeight="1">
      <c r="A148" s="400" t="s">
        <v>3262</v>
      </c>
      <c r="B148" s="72">
        <v>1</v>
      </c>
    </row>
    <row r="149" spans="1:2" s="73" customFormat="1" ht="19.5" customHeight="1">
      <c r="A149" s="400" t="s">
        <v>3263</v>
      </c>
      <c r="B149" s="72">
        <v>1</v>
      </c>
    </row>
    <row r="150" spans="1:2" s="73" customFormat="1" ht="19.5" customHeight="1">
      <c r="A150" s="400" t="s">
        <v>3264</v>
      </c>
      <c r="B150" s="72">
        <v>4</v>
      </c>
    </row>
    <row r="151" spans="1:2" s="73" customFormat="1" ht="29.25" customHeight="1">
      <c r="A151" s="400" t="s">
        <v>3265</v>
      </c>
      <c r="B151" s="72">
        <v>4</v>
      </c>
    </row>
    <row r="152" spans="1:2" s="73" customFormat="1" ht="29.25" customHeight="1">
      <c r="A152" s="400" t="s">
        <v>3266</v>
      </c>
      <c r="B152" s="72">
        <v>1.5</v>
      </c>
    </row>
    <row r="153" spans="1:2" s="73" customFormat="1" ht="20.25" customHeight="1">
      <c r="A153" s="400" t="s">
        <v>3267</v>
      </c>
      <c r="B153" s="72">
        <v>1</v>
      </c>
    </row>
    <row r="154" spans="1:2" s="73" customFormat="1" ht="20.25" customHeight="1">
      <c r="A154" s="400" t="s">
        <v>3269</v>
      </c>
      <c r="B154" s="72">
        <v>1</v>
      </c>
    </row>
    <row r="155" spans="1:2" s="73" customFormat="1" ht="20.25" customHeight="1">
      <c r="A155" s="400" t="s">
        <v>3268</v>
      </c>
      <c r="B155" s="72">
        <v>4</v>
      </c>
    </row>
    <row r="156" spans="1:2" s="73" customFormat="1" ht="20.25" customHeight="1">
      <c r="A156" s="400" t="s">
        <v>3270</v>
      </c>
      <c r="B156" s="72">
        <v>3</v>
      </c>
    </row>
    <row r="157" spans="1:2" s="73" customFormat="1">
      <c r="A157" s="627" t="s">
        <v>2243</v>
      </c>
      <c r="B157" s="72">
        <v>1</v>
      </c>
    </row>
    <row r="158" spans="1:2" s="73" customFormat="1">
      <c r="A158" s="627" t="s">
        <v>3272</v>
      </c>
      <c r="B158" s="72">
        <v>4</v>
      </c>
    </row>
    <row r="159" spans="1:2" s="73" customFormat="1" ht="28.5">
      <c r="A159" s="627" t="s">
        <v>3271</v>
      </c>
      <c r="B159" s="72">
        <v>2</v>
      </c>
    </row>
    <row r="160" spans="1:2" s="73" customFormat="1" ht="28.5">
      <c r="A160" s="627" t="s">
        <v>3273</v>
      </c>
      <c r="B160" s="72">
        <v>4</v>
      </c>
    </row>
    <row r="161" spans="1:3" s="73" customFormat="1" ht="28.5">
      <c r="A161" s="627" t="s">
        <v>3274</v>
      </c>
      <c r="B161" s="72">
        <v>4</v>
      </c>
    </row>
    <row r="162" spans="1:3" s="73" customFormat="1" ht="28.5">
      <c r="A162" s="627" t="s">
        <v>3275</v>
      </c>
      <c r="B162" s="72">
        <v>1</v>
      </c>
    </row>
    <row r="163" spans="1:3" s="73" customFormat="1">
      <c r="A163" s="627" t="s">
        <v>3276</v>
      </c>
      <c r="B163" s="72">
        <v>4</v>
      </c>
    </row>
    <row r="164" spans="1:3" s="73" customFormat="1">
      <c r="A164" s="627" t="s">
        <v>3292</v>
      </c>
      <c r="B164" s="72">
        <v>2</v>
      </c>
    </row>
    <row r="165" spans="1:3" s="73" customFormat="1">
      <c r="A165" s="627" t="s">
        <v>3293</v>
      </c>
      <c r="B165" s="72">
        <v>2</v>
      </c>
    </row>
    <row r="166" spans="1:3" s="73" customFormat="1">
      <c r="A166" s="400" t="s">
        <v>2278</v>
      </c>
      <c r="B166" s="72">
        <v>1</v>
      </c>
    </row>
    <row r="167" spans="1:3" s="73" customFormat="1" ht="42.75">
      <c r="A167" s="400" t="s">
        <v>3294</v>
      </c>
      <c r="B167" s="72">
        <v>1</v>
      </c>
    </row>
    <row r="168" spans="1:3" s="73" customFormat="1">
      <c r="A168" s="267" t="s">
        <v>3295</v>
      </c>
      <c r="B168" s="72">
        <v>3</v>
      </c>
    </row>
    <row r="169" spans="1:3" s="73" customFormat="1">
      <c r="A169" s="267" t="s">
        <v>3296</v>
      </c>
      <c r="B169" s="72">
        <v>1</v>
      </c>
      <c r="C169" s="73">
        <v>0.5</v>
      </c>
    </row>
    <row r="170" spans="1:3" s="73" customFormat="1" ht="28.5">
      <c r="A170" s="400" t="s">
        <v>3297</v>
      </c>
      <c r="B170" s="72">
        <v>1</v>
      </c>
      <c r="C170" s="73">
        <v>1</v>
      </c>
    </row>
    <row r="171" spans="1:3" s="73" customFormat="1" ht="28.5">
      <c r="A171" s="400" t="s">
        <v>3320</v>
      </c>
      <c r="B171" s="72">
        <v>1.5</v>
      </c>
    </row>
    <row r="172" spans="1:3" s="73" customFormat="1">
      <c r="A172" s="400" t="s">
        <v>3298</v>
      </c>
      <c r="B172" s="72">
        <v>1</v>
      </c>
      <c r="C172" s="73">
        <v>8</v>
      </c>
    </row>
    <row r="173" spans="1:3" s="73" customFormat="1" ht="28.5">
      <c r="A173" s="400" t="s">
        <v>3299</v>
      </c>
      <c r="B173" s="72">
        <v>2</v>
      </c>
    </row>
    <row r="174" spans="1:3" s="73" customFormat="1">
      <c r="A174" s="400" t="s">
        <v>3300</v>
      </c>
      <c r="B174" s="72">
        <v>1</v>
      </c>
      <c r="C174" s="73">
        <v>8</v>
      </c>
    </row>
    <row r="175" spans="1:3" s="73" customFormat="1">
      <c r="A175" s="400" t="s">
        <v>3301</v>
      </c>
      <c r="B175" s="72">
        <v>1</v>
      </c>
      <c r="C175" s="73">
        <v>8</v>
      </c>
    </row>
    <row r="176" spans="1:3" s="73" customFormat="1">
      <c r="A176" s="400" t="s">
        <v>3302</v>
      </c>
      <c r="B176" s="72">
        <v>2</v>
      </c>
    </row>
    <row r="177" spans="1:2" s="73" customFormat="1">
      <c r="A177" s="400" t="s">
        <v>3303</v>
      </c>
      <c r="B177" s="72">
        <v>1</v>
      </c>
    </row>
    <row r="178" spans="1:2" s="73" customFormat="1">
      <c r="A178" s="400" t="s">
        <v>3304</v>
      </c>
      <c r="B178" s="72">
        <v>3</v>
      </c>
    </row>
    <row r="179" spans="1:2" s="73" customFormat="1">
      <c r="A179" s="400" t="s">
        <v>3305</v>
      </c>
      <c r="B179" s="72">
        <v>1</v>
      </c>
    </row>
    <row r="180" spans="1:2" s="73" customFormat="1">
      <c r="A180" s="400" t="s">
        <v>3306</v>
      </c>
      <c r="B180" s="72">
        <v>4</v>
      </c>
    </row>
    <row r="181" spans="1:2" s="73" customFormat="1" ht="28.5">
      <c r="A181" s="400" t="s">
        <v>3307</v>
      </c>
      <c r="B181" s="72">
        <v>1</v>
      </c>
    </row>
    <row r="182" spans="1:2" s="73" customFormat="1">
      <c r="A182" s="400" t="s">
        <v>3308</v>
      </c>
      <c r="B182" s="72">
        <v>1</v>
      </c>
    </row>
    <row r="183" spans="1:2" s="73" customFormat="1" ht="28.5">
      <c r="A183" s="400" t="s">
        <v>3309</v>
      </c>
      <c r="B183" s="72">
        <v>2</v>
      </c>
    </row>
    <row r="184" spans="1:2" s="73" customFormat="1" ht="28.5">
      <c r="A184" s="400" t="s">
        <v>3310</v>
      </c>
      <c r="B184" s="72">
        <v>4</v>
      </c>
    </row>
    <row r="185" spans="1:2" s="73" customFormat="1" ht="28.5">
      <c r="A185" s="400" t="s">
        <v>3313</v>
      </c>
      <c r="B185" s="72">
        <v>0.5</v>
      </c>
    </row>
    <row r="186" spans="1:2" s="73" customFormat="1" ht="28.5">
      <c r="A186" s="400" t="s">
        <v>3314</v>
      </c>
      <c r="B186" s="72">
        <v>4</v>
      </c>
    </row>
    <row r="187" spans="1:2" s="73" customFormat="1">
      <c r="A187" s="400" t="s">
        <v>3315</v>
      </c>
      <c r="B187" s="72">
        <v>1</v>
      </c>
    </row>
    <row r="188" spans="1:2" s="73" customFormat="1">
      <c r="A188" s="400" t="s">
        <v>3311</v>
      </c>
      <c r="B188" s="72">
        <v>1</v>
      </c>
    </row>
    <row r="189" spans="1:2" s="73" customFormat="1" ht="28.5">
      <c r="A189" s="400" t="s">
        <v>3312</v>
      </c>
      <c r="B189" s="72">
        <v>2</v>
      </c>
    </row>
    <row r="190" spans="1:2" s="73" customFormat="1">
      <c r="A190" s="400" t="s">
        <v>3316</v>
      </c>
      <c r="B190" s="72">
        <v>1</v>
      </c>
    </row>
    <row r="191" spans="1:2" s="73" customFormat="1">
      <c r="A191" s="400" t="s">
        <v>3317</v>
      </c>
      <c r="B191" s="72">
        <v>2</v>
      </c>
    </row>
    <row r="192" spans="1:2" s="73" customFormat="1">
      <c r="A192" s="400" t="s">
        <v>3318</v>
      </c>
      <c r="B192" s="72">
        <v>1</v>
      </c>
    </row>
    <row r="193" spans="1:2" s="73" customFormat="1" ht="15.75" thickBot="1">
      <c r="A193" s="400" t="s">
        <v>3319</v>
      </c>
      <c r="B193" s="72">
        <v>2</v>
      </c>
    </row>
    <row r="194" spans="1:2" s="73" customFormat="1" ht="31.5" customHeight="1">
      <c r="A194" s="387" t="s">
        <v>102</v>
      </c>
      <c r="B194" s="72"/>
    </row>
    <row r="195" spans="1:2" s="73" customFormat="1" ht="19.5" customHeight="1">
      <c r="A195" s="621" t="s">
        <v>3056</v>
      </c>
      <c r="B195" s="72">
        <v>1.5</v>
      </c>
    </row>
    <row r="196" spans="1:2" s="73" customFormat="1">
      <c r="A196" s="400" t="s">
        <v>3055</v>
      </c>
      <c r="B196" s="72">
        <v>1</v>
      </c>
    </row>
    <row r="197" spans="1:2" s="73" customFormat="1" ht="28.5">
      <c r="A197" s="400" t="s">
        <v>3057</v>
      </c>
      <c r="B197" s="72">
        <v>0.5</v>
      </c>
    </row>
    <row r="198" spans="1:2" s="73" customFormat="1">
      <c r="A198" s="400" t="s">
        <v>3058</v>
      </c>
      <c r="B198" s="72">
        <v>1</v>
      </c>
    </row>
    <row r="199" spans="1:2" s="73" customFormat="1" ht="28.5">
      <c r="A199" s="400" t="s">
        <v>3059</v>
      </c>
      <c r="B199" s="72">
        <v>1</v>
      </c>
    </row>
    <row r="200" spans="1:2" s="73" customFormat="1" ht="28.5">
      <c r="A200" s="400" t="s">
        <v>3060</v>
      </c>
      <c r="B200" s="72">
        <v>1</v>
      </c>
    </row>
    <row r="201" spans="1:2" s="73" customFormat="1">
      <c r="A201" s="400" t="s">
        <v>3061</v>
      </c>
      <c r="B201" s="72">
        <v>1</v>
      </c>
    </row>
    <row r="202" spans="1:2" s="73" customFormat="1" ht="28.5">
      <c r="A202" s="400" t="s">
        <v>3062</v>
      </c>
      <c r="B202" s="72">
        <v>1</v>
      </c>
    </row>
    <row r="203" spans="1:2" s="73" customFormat="1" ht="28.5">
      <c r="A203" s="400" t="s">
        <v>3063</v>
      </c>
      <c r="B203" s="72">
        <v>1</v>
      </c>
    </row>
    <row r="204" spans="1:2" s="73" customFormat="1">
      <c r="A204" s="400" t="s">
        <v>3064</v>
      </c>
      <c r="B204" s="72">
        <v>1</v>
      </c>
    </row>
    <row r="205" spans="1:2" s="73" customFormat="1">
      <c r="A205" s="400" t="s">
        <v>3065</v>
      </c>
      <c r="B205" s="72">
        <v>1</v>
      </c>
    </row>
    <row r="206" spans="1:2" s="73" customFormat="1">
      <c r="A206" s="400" t="s">
        <v>3078</v>
      </c>
      <c r="B206" s="72"/>
    </row>
    <row r="207" spans="1:2" s="73" customFormat="1">
      <c r="A207" s="400" t="s">
        <v>3079</v>
      </c>
      <c r="B207" s="72">
        <v>0.5</v>
      </c>
    </row>
    <row r="208" spans="1:2" s="73" customFormat="1" ht="28.5">
      <c r="A208" s="400" t="s">
        <v>3080</v>
      </c>
      <c r="B208" s="72">
        <v>1.5</v>
      </c>
    </row>
    <row r="209" spans="1:2" s="73" customFormat="1">
      <c r="A209" s="400" t="s">
        <v>3081</v>
      </c>
      <c r="B209" s="72">
        <v>0.5</v>
      </c>
    </row>
    <row r="210" spans="1:2" s="73" customFormat="1">
      <c r="A210" s="400" t="s">
        <v>3082</v>
      </c>
      <c r="B210" s="72">
        <v>1</v>
      </c>
    </row>
    <row r="211" spans="1:2" s="73" customFormat="1">
      <c r="A211" s="400" t="s">
        <v>3083</v>
      </c>
      <c r="B211" s="72">
        <v>1</v>
      </c>
    </row>
    <row r="212" spans="1:2" s="73" customFormat="1">
      <c r="A212" s="400" t="s">
        <v>3084</v>
      </c>
      <c r="B212" s="72">
        <v>0.5</v>
      </c>
    </row>
    <row r="213" spans="1:2" s="73" customFormat="1">
      <c r="A213" s="400" t="s">
        <v>3085</v>
      </c>
      <c r="B213" s="72">
        <v>0.5</v>
      </c>
    </row>
    <row r="214" spans="1:2" s="73" customFormat="1">
      <c r="A214" s="400" t="s">
        <v>3086</v>
      </c>
      <c r="B214" s="72">
        <v>0.5</v>
      </c>
    </row>
    <row r="215" spans="1:2" s="73" customFormat="1">
      <c r="A215" s="400" t="s">
        <v>3087</v>
      </c>
      <c r="B215" s="72">
        <v>1.5</v>
      </c>
    </row>
    <row r="216" spans="1:2" s="73" customFormat="1">
      <c r="A216" s="400" t="s">
        <v>3088</v>
      </c>
      <c r="B216" s="72">
        <v>0.5</v>
      </c>
    </row>
    <row r="217" spans="1:2" s="73" customFormat="1" ht="28.5">
      <c r="A217" s="400" t="s">
        <v>3089</v>
      </c>
      <c r="B217" s="72">
        <v>1</v>
      </c>
    </row>
    <row r="218" spans="1:2" s="73" customFormat="1">
      <c r="A218" s="400" t="s">
        <v>3098</v>
      </c>
      <c r="B218" s="72">
        <v>0.5</v>
      </c>
    </row>
    <row r="219" spans="1:2" s="73" customFormat="1">
      <c r="A219" s="400" t="s">
        <v>3099</v>
      </c>
      <c r="B219" s="72">
        <v>0.5</v>
      </c>
    </row>
    <row r="220" spans="1:2" s="73" customFormat="1">
      <c r="A220" s="400" t="s">
        <v>3100</v>
      </c>
      <c r="B220" s="72">
        <v>0.5</v>
      </c>
    </row>
    <row r="221" spans="1:2" s="73" customFormat="1">
      <c r="A221" s="400" t="s">
        <v>3101</v>
      </c>
      <c r="B221" s="72">
        <v>1</v>
      </c>
    </row>
    <row r="222" spans="1:2" s="73" customFormat="1">
      <c r="A222" s="400" t="s">
        <v>3102</v>
      </c>
      <c r="B222" s="72">
        <v>1</v>
      </c>
    </row>
    <row r="223" spans="1:2" s="73" customFormat="1">
      <c r="A223" s="400" t="s">
        <v>3103</v>
      </c>
      <c r="B223" s="72">
        <v>1</v>
      </c>
    </row>
    <row r="224" spans="1:2" s="73" customFormat="1">
      <c r="A224" s="400" t="s">
        <v>3104</v>
      </c>
      <c r="B224" s="72">
        <v>0.5</v>
      </c>
    </row>
    <row r="225" spans="1:2" s="73" customFormat="1">
      <c r="A225" s="400" t="s">
        <v>3105</v>
      </c>
      <c r="B225" s="72">
        <v>0.5</v>
      </c>
    </row>
    <row r="226" spans="1:2" s="73" customFormat="1">
      <c r="A226" s="400" t="s">
        <v>3106</v>
      </c>
      <c r="B226" s="72">
        <v>1</v>
      </c>
    </row>
    <row r="227" spans="1:2" s="73" customFormat="1">
      <c r="A227" s="400" t="s">
        <v>3107</v>
      </c>
      <c r="B227" s="72">
        <v>1</v>
      </c>
    </row>
    <row r="228" spans="1:2" s="73" customFormat="1">
      <c r="A228" s="400" t="s">
        <v>3108</v>
      </c>
      <c r="B228" s="72">
        <v>0.5</v>
      </c>
    </row>
    <row r="229" spans="1:2" s="73" customFormat="1">
      <c r="A229" s="400" t="s">
        <v>3109</v>
      </c>
      <c r="B229" s="72">
        <v>0.5</v>
      </c>
    </row>
    <row r="230" spans="1:2" s="73" customFormat="1">
      <c r="A230" s="400" t="s">
        <v>3110</v>
      </c>
      <c r="B230" s="72">
        <v>0.5</v>
      </c>
    </row>
    <row r="231" spans="1:2" s="73" customFormat="1">
      <c r="A231" s="400" t="s">
        <v>3136</v>
      </c>
      <c r="B231" s="72">
        <v>1</v>
      </c>
    </row>
    <row r="232" spans="1:2" s="73" customFormat="1">
      <c r="A232" s="400" t="s">
        <v>3127</v>
      </c>
      <c r="B232" s="72">
        <v>0.5</v>
      </c>
    </row>
    <row r="233" spans="1:2" s="73" customFormat="1">
      <c r="A233" s="400" t="s">
        <v>3128</v>
      </c>
      <c r="B233" s="72">
        <v>0.5</v>
      </c>
    </row>
    <row r="234" spans="1:2" s="73" customFormat="1">
      <c r="A234" s="400" t="s">
        <v>3151</v>
      </c>
      <c r="B234" s="72">
        <v>0.5</v>
      </c>
    </row>
    <row r="235" spans="1:2" s="73" customFormat="1">
      <c r="A235" s="400" t="s">
        <v>3129</v>
      </c>
      <c r="B235" s="72">
        <v>0.5</v>
      </c>
    </row>
    <row r="236" spans="1:2" s="73" customFormat="1">
      <c r="A236" s="400" t="s">
        <v>3130</v>
      </c>
      <c r="B236" s="72">
        <v>0.5</v>
      </c>
    </row>
    <row r="237" spans="1:2" s="73" customFormat="1">
      <c r="A237" s="400" t="s">
        <v>3131</v>
      </c>
      <c r="B237" s="72">
        <v>0.5</v>
      </c>
    </row>
    <row r="238" spans="1:2" s="73" customFormat="1">
      <c r="A238" s="400" t="s">
        <v>3132</v>
      </c>
      <c r="B238" s="72">
        <v>0.5</v>
      </c>
    </row>
    <row r="239" spans="1:2" s="73" customFormat="1">
      <c r="A239" s="400" t="s">
        <v>3135</v>
      </c>
      <c r="B239" s="72">
        <v>0.5</v>
      </c>
    </row>
    <row r="240" spans="1:2" s="73" customFormat="1">
      <c r="A240" s="400" t="s">
        <v>3133</v>
      </c>
      <c r="B240" s="72">
        <v>0.5</v>
      </c>
    </row>
    <row r="241" spans="1:2" s="73" customFormat="1">
      <c r="A241" s="400" t="s">
        <v>3134</v>
      </c>
      <c r="B241" s="72">
        <v>0.5</v>
      </c>
    </row>
    <row r="242" spans="1:2" s="73" customFormat="1">
      <c r="A242" s="400" t="s">
        <v>3145</v>
      </c>
      <c r="B242" s="72">
        <v>1</v>
      </c>
    </row>
    <row r="243" spans="1:2" s="73" customFormat="1">
      <c r="A243" s="400" t="s">
        <v>3146</v>
      </c>
      <c r="B243" s="72">
        <v>0.5</v>
      </c>
    </row>
    <row r="244" spans="1:2" s="73" customFormat="1">
      <c r="A244" s="400" t="s">
        <v>3147</v>
      </c>
      <c r="B244" s="72">
        <v>0.5</v>
      </c>
    </row>
    <row r="245" spans="1:2" s="73" customFormat="1">
      <c r="A245" s="400" t="s">
        <v>3149</v>
      </c>
      <c r="B245" s="72">
        <v>0.5</v>
      </c>
    </row>
    <row r="246" spans="1:2" s="73" customFormat="1">
      <c r="A246" s="400" t="s">
        <v>3150</v>
      </c>
      <c r="B246" s="72">
        <v>0.5</v>
      </c>
    </row>
    <row r="247" spans="1:2" s="73" customFormat="1">
      <c r="A247" s="400" t="s">
        <v>3152</v>
      </c>
      <c r="B247" s="72">
        <v>0.5</v>
      </c>
    </row>
    <row r="248" spans="1:2" s="73" customFormat="1">
      <c r="A248" s="400" t="s">
        <v>3153</v>
      </c>
      <c r="B248" s="72">
        <v>0.5</v>
      </c>
    </row>
    <row r="249" spans="1:2" s="73" customFormat="1" ht="28.5">
      <c r="A249" s="400" t="s">
        <v>3154</v>
      </c>
      <c r="B249" s="72">
        <v>1</v>
      </c>
    </row>
    <row r="250" spans="1:2" s="73" customFormat="1">
      <c r="A250" s="400" t="s">
        <v>3155</v>
      </c>
      <c r="B250" s="72">
        <v>1.5</v>
      </c>
    </row>
    <row r="251" spans="1:2" s="73" customFormat="1">
      <c r="A251" s="400" t="s">
        <v>3156</v>
      </c>
      <c r="B251" s="72">
        <v>1</v>
      </c>
    </row>
    <row r="252" spans="1:2" s="73" customFormat="1">
      <c r="A252" s="400" t="s">
        <v>3157</v>
      </c>
      <c r="B252" s="72">
        <v>0.5</v>
      </c>
    </row>
    <row r="253" spans="1:2" s="73" customFormat="1" ht="28.5">
      <c r="A253" s="400" t="s">
        <v>3158</v>
      </c>
      <c r="B253" s="72">
        <v>0.5</v>
      </c>
    </row>
    <row r="254" spans="1:2" s="73" customFormat="1">
      <c r="A254" s="400" t="s">
        <v>3169</v>
      </c>
      <c r="B254" s="72">
        <v>0.5</v>
      </c>
    </row>
    <row r="255" spans="1:2" s="73" customFormat="1">
      <c r="A255" s="400" t="s">
        <v>3170</v>
      </c>
      <c r="B255" s="72">
        <v>1</v>
      </c>
    </row>
    <row r="256" spans="1:2" s="73" customFormat="1">
      <c r="A256" s="400" t="s">
        <v>3171</v>
      </c>
      <c r="B256" s="72">
        <v>1</v>
      </c>
    </row>
    <row r="257" spans="1:2" s="73" customFormat="1" ht="21" customHeight="1">
      <c r="A257" s="400" t="s">
        <v>3172</v>
      </c>
      <c r="B257" s="72">
        <v>0.5</v>
      </c>
    </row>
    <row r="258" spans="1:2" s="73" customFormat="1" ht="30" customHeight="1">
      <c r="A258" s="400" t="s">
        <v>3173</v>
      </c>
      <c r="B258" s="72">
        <v>2.5</v>
      </c>
    </row>
    <row r="259" spans="1:2" s="73" customFormat="1" ht="20.25" customHeight="1">
      <c r="A259" s="400" t="s">
        <v>3174</v>
      </c>
      <c r="B259" s="72">
        <v>0.5</v>
      </c>
    </row>
    <row r="260" spans="1:2" s="73" customFormat="1" ht="20.25" customHeight="1">
      <c r="A260" s="400" t="s">
        <v>3175</v>
      </c>
      <c r="B260" s="72">
        <v>0.5</v>
      </c>
    </row>
    <row r="261" spans="1:2" s="73" customFormat="1" ht="20.25" customHeight="1">
      <c r="A261" s="400" t="s">
        <v>3176</v>
      </c>
      <c r="B261" s="72">
        <v>0.5</v>
      </c>
    </row>
    <row r="262" spans="1:2" s="73" customFormat="1" ht="16.5" customHeight="1">
      <c r="A262" s="400" t="s">
        <v>3186</v>
      </c>
      <c r="B262" s="72">
        <v>0.5</v>
      </c>
    </row>
    <row r="263" spans="1:2" s="73" customFormat="1" ht="31.5" customHeight="1">
      <c r="A263" s="400" t="s">
        <v>3187</v>
      </c>
      <c r="B263" s="72">
        <v>0.5</v>
      </c>
    </row>
    <row r="264" spans="1:2" s="73" customFormat="1" ht="19.5" customHeight="1">
      <c r="A264" s="400" t="s">
        <v>3188</v>
      </c>
      <c r="B264" s="72">
        <v>0.5</v>
      </c>
    </row>
    <row r="265" spans="1:2" s="73" customFormat="1" ht="19.5" customHeight="1">
      <c r="A265" s="400" t="s">
        <v>3189</v>
      </c>
      <c r="B265" s="72">
        <v>0.5</v>
      </c>
    </row>
    <row r="266" spans="1:2" s="73" customFormat="1" ht="19.5" customHeight="1">
      <c r="A266" s="400" t="s">
        <v>3190</v>
      </c>
      <c r="B266" s="72">
        <v>0.5</v>
      </c>
    </row>
    <row r="267" spans="1:2" s="73" customFormat="1" ht="19.5" customHeight="1">
      <c r="A267" s="400" t="s">
        <v>3191</v>
      </c>
      <c r="B267" s="72">
        <v>0.5</v>
      </c>
    </row>
    <row r="268" spans="1:2" s="73" customFormat="1" ht="19.5" customHeight="1">
      <c r="A268" s="400" t="s">
        <v>3192</v>
      </c>
      <c r="B268" s="72">
        <v>1.5</v>
      </c>
    </row>
    <row r="269" spans="1:2" s="73" customFormat="1" ht="29.25" customHeight="1">
      <c r="A269" s="400" t="s">
        <v>3193</v>
      </c>
      <c r="B269" s="72">
        <v>1.5</v>
      </c>
    </row>
    <row r="270" spans="1:2" s="73" customFormat="1" ht="29.25" customHeight="1">
      <c r="A270" s="400" t="s">
        <v>3194</v>
      </c>
      <c r="B270" s="72">
        <v>1</v>
      </c>
    </row>
    <row r="271" spans="1:2" s="73" customFormat="1" ht="17.25" customHeight="1">
      <c r="A271" s="400" t="s">
        <v>3201</v>
      </c>
      <c r="B271" s="72">
        <v>1</v>
      </c>
    </row>
    <row r="272" spans="1:2" s="73" customFormat="1" ht="17.25" customHeight="1">
      <c r="A272" s="400" t="s">
        <v>3202</v>
      </c>
      <c r="B272" s="72">
        <v>0.5</v>
      </c>
    </row>
    <row r="273" spans="1:2" s="73" customFormat="1" ht="17.25" customHeight="1">
      <c r="A273" s="400" t="s">
        <v>3203</v>
      </c>
      <c r="B273" s="72">
        <v>0.5</v>
      </c>
    </row>
    <row r="274" spans="1:2" s="73" customFormat="1" ht="17.25" customHeight="1">
      <c r="A274" s="400" t="s">
        <v>3204</v>
      </c>
      <c r="B274" s="72">
        <v>0.5</v>
      </c>
    </row>
    <row r="275" spans="1:2" s="73" customFormat="1" ht="17.25" customHeight="1">
      <c r="A275" s="400" t="s">
        <v>3205</v>
      </c>
      <c r="B275" s="72">
        <v>0.5</v>
      </c>
    </row>
    <row r="276" spans="1:2" s="73" customFormat="1" ht="17.25" customHeight="1">
      <c r="A276" s="400" t="s">
        <v>3206</v>
      </c>
      <c r="B276" s="72">
        <v>0.5</v>
      </c>
    </row>
    <row r="277" spans="1:2" s="73" customFormat="1" ht="17.25" customHeight="1">
      <c r="A277" s="400" t="s">
        <v>3219</v>
      </c>
      <c r="B277" s="72">
        <v>0.5</v>
      </c>
    </row>
    <row r="278" spans="1:2" s="73" customFormat="1" ht="17.25" customHeight="1">
      <c r="A278" s="400" t="s">
        <v>3220</v>
      </c>
      <c r="B278" s="72">
        <v>0.5</v>
      </c>
    </row>
    <row r="279" spans="1:2" s="73" customFormat="1" ht="32.25" customHeight="1">
      <c r="A279" s="400" t="s">
        <v>3221</v>
      </c>
      <c r="B279" s="72">
        <v>1</v>
      </c>
    </row>
    <row r="280" spans="1:2" s="73" customFormat="1" ht="32.25" customHeight="1">
      <c r="A280" s="400" t="s">
        <v>3222</v>
      </c>
      <c r="B280" s="72">
        <v>0.5</v>
      </c>
    </row>
    <row r="281" spans="1:2" s="73" customFormat="1" ht="18.75" customHeight="1">
      <c r="A281" s="400" t="s">
        <v>3223</v>
      </c>
      <c r="B281" s="72">
        <v>1</v>
      </c>
    </row>
    <row r="282" spans="1:2" s="73" customFormat="1" ht="18.75" customHeight="1">
      <c r="A282" s="400" t="s">
        <v>3224</v>
      </c>
      <c r="B282" s="72">
        <v>0.5</v>
      </c>
    </row>
    <row r="283" spans="1:2" s="73" customFormat="1" ht="18.75" customHeight="1">
      <c r="A283" s="400" t="s">
        <v>3225</v>
      </c>
      <c r="B283" s="72">
        <v>2.5</v>
      </c>
    </row>
    <row r="284" spans="1:2" s="73" customFormat="1" ht="18.75" customHeight="1">
      <c r="A284" s="400" t="s">
        <v>3249</v>
      </c>
      <c r="B284" s="72">
        <v>0.5</v>
      </c>
    </row>
    <row r="285" spans="1:2" s="73" customFormat="1" ht="18.75" customHeight="1">
      <c r="A285" s="400" t="s">
        <v>3250</v>
      </c>
      <c r="B285" s="72">
        <v>0.5</v>
      </c>
    </row>
    <row r="286" spans="1:2" s="73" customFormat="1" ht="18.75" customHeight="1">
      <c r="A286" s="400" t="s">
        <v>3251</v>
      </c>
      <c r="B286" s="72">
        <v>0.5</v>
      </c>
    </row>
    <row r="287" spans="1:2" s="73" customFormat="1" ht="18.75" customHeight="1">
      <c r="A287" s="400" t="s">
        <v>3252</v>
      </c>
      <c r="B287" s="72">
        <v>1</v>
      </c>
    </row>
    <row r="288" spans="1:2" s="73" customFormat="1" ht="33.75" customHeight="1">
      <c r="A288" s="400" t="s">
        <v>3253</v>
      </c>
      <c r="B288" s="72">
        <v>1</v>
      </c>
    </row>
    <row r="289" spans="1:2" s="73" customFormat="1" ht="19.5" customHeight="1">
      <c r="A289" s="400" t="s">
        <v>3254</v>
      </c>
      <c r="B289" s="72">
        <v>1.5</v>
      </c>
    </row>
    <row r="290" spans="1:2" s="73" customFormat="1" ht="19.5" customHeight="1">
      <c r="A290" s="400" t="s">
        <v>3255</v>
      </c>
      <c r="B290" s="72">
        <v>0.5</v>
      </c>
    </row>
    <row r="291" spans="1:2" s="73" customFormat="1" ht="19.5" customHeight="1">
      <c r="A291" s="400" t="s">
        <v>3277</v>
      </c>
      <c r="B291" s="72">
        <v>0.5</v>
      </c>
    </row>
    <row r="292" spans="1:2" s="73" customFormat="1" ht="19.5" customHeight="1">
      <c r="A292" s="400" t="s">
        <v>3278</v>
      </c>
      <c r="B292" s="72">
        <v>1</v>
      </c>
    </row>
    <row r="293" spans="1:2" s="73" customFormat="1" ht="19.5" customHeight="1">
      <c r="A293" s="400" t="s">
        <v>3279</v>
      </c>
      <c r="B293" s="72">
        <v>0.5</v>
      </c>
    </row>
    <row r="294" spans="1:2" s="73" customFormat="1" ht="19.5" customHeight="1">
      <c r="A294" s="400" t="s">
        <v>3280</v>
      </c>
      <c r="B294" s="72">
        <v>2</v>
      </c>
    </row>
    <row r="295" spans="1:2" s="73" customFormat="1" ht="19.5" customHeight="1">
      <c r="A295" s="400" t="s">
        <v>3281</v>
      </c>
      <c r="B295" s="72">
        <v>0.5</v>
      </c>
    </row>
    <row r="296" spans="1:2" s="73" customFormat="1" ht="19.5" customHeight="1">
      <c r="A296" s="400" t="s">
        <v>3282</v>
      </c>
      <c r="B296" s="72">
        <v>2</v>
      </c>
    </row>
    <row r="297" spans="1:2" s="73" customFormat="1" ht="19.5" customHeight="1">
      <c r="A297" s="400" t="s">
        <v>3283</v>
      </c>
      <c r="B297" s="72">
        <v>0.5</v>
      </c>
    </row>
    <row r="298" spans="1:2" s="73" customFormat="1" ht="19.5" customHeight="1">
      <c r="A298" s="400" t="s">
        <v>3284</v>
      </c>
      <c r="B298" s="72">
        <v>1</v>
      </c>
    </row>
    <row r="299" spans="1:2" s="73" customFormat="1" ht="19.5" customHeight="1">
      <c r="A299" s="400" t="s">
        <v>3285</v>
      </c>
      <c r="B299" s="72">
        <v>0.5</v>
      </c>
    </row>
    <row r="300" spans="1:2" s="73" customFormat="1" ht="19.5" customHeight="1">
      <c r="A300" s="400" t="s">
        <v>3286</v>
      </c>
      <c r="B300" s="72">
        <v>0.5</v>
      </c>
    </row>
    <row r="301" spans="1:2" s="73" customFormat="1" ht="19.5" customHeight="1">
      <c r="A301" s="400" t="s">
        <v>3321</v>
      </c>
      <c r="B301" s="72">
        <v>0.5</v>
      </c>
    </row>
    <row r="302" spans="1:2" s="73" customFormat="1" ht="28.5" customHeight="1">
      <c r="A302" s="400" t="s">
        <v>3322</v>
      </c>
      <c r="B302" s="72">
        <v>1</v>
      </c>
    </row>
    <row r="303" spans="1:2" s="73" customFormat="1" ht="28.5" customHeight="1">
      <c r="A303" s="400" t="s">
        <v>3323</v>
      </c>
      <c r="B303" s="72">
        <v>1.5</v>
      </c>
    </row>
    <row r="304" spans="1:2" s="73" customFormat="1" ht="20.25" customHeight="1">
      <c r="A304" s="400" t="s">
        <v>3324</v>
      </c>
      <c r="B304" s="72">
        <v>0.5</v>
      </c>
    </row>
    <row r="305" spans="1:252" s="73" customFormat="1" ht="20.25" customHeight="1">
      <c r="A305" s="400" t="s">
        <v>3325</v>
      </c>
      <c r="B305" s="72">
        <v>0.5</v>
      </c>
    </row>
    <row r="306" spans="1:252" s="73" customFormat="1" ht="20.25" customHeight="1">
      <c r="A306" s="400" t="s">
        <v>3326</v>
      </c>
      <c r="B306" s="72">
        <v>0.5</v>
      </c>
    </row>
    <row r="307" spans="1:252" s="73" customFormat="1" ht="20.25" customHeight="1">
      <c r="A307" s="400" t="s">
        <v>3327</v>
      </c>
      <c r="B307" s="72">
        <v>0.5</v>
      </c>
    </row>
    <row r="308" spans="1:252" s="73" customFormat="1" ht="30.75" customHeight="1">
      <c r="A308" s="400" t="s">
        <v>3332</v>
      </c>
      <c r="B308" s="72">
        <v>1</v>
      </c>
    </row>
    <row r="309" spans="1:252" s="73" customFormat="1" ht="20.25" customHeight="1">
      <c r="A309" s="400" t="s">
        <v>3331</v>
      </c>
      <c r="B309" s="72">
        <v>1</v>
      </c>
    </row>
    <row r="310" spans="1:252" s="73" customFormat="1" ht="20.25" customHeight="1">
      <c r="A310" s="400" t="s">
        <v>3328</v>
      </c>
      <c r="B310" s="72">
        <v>0.5</v>
      </c>
    </row>
    <row r="311" spans="1:252" s="73" customFormat="1" ht="20.25" customHeight="1">
      <c r="A311" s="400" t="s">
        <v>3329</v>
      </c>
      <c r="B311" s="72">
        <v>1</v>
      </c>
    </row>
    <row r="312" spans="1:252" s="73" customFormat="1" ht="30.75" customHeight="1">
      <c r="A312" s="400" t="s">
        <v>3330</v>
      </c>
      <c r="B312" s="72">
        <v>3</v>
      </c>
    </row>
    <row r="313" spans="1:252" s="73" customFormat="1" ht="15.75" thickBot="1">
      <c r="A313" s="629" t="s">
        <v>104</v>
      </c>
      <c r="B313" s="72">
        <f>SUM(B8:B312)</f>
        <v>462.5</v>
      </c>
    </row>
    <row r="314" spans="1:252">
      <c r="A314" s="121"/>
      <c r="B314" s="108"/>
    </row>
    <row r="315" spans="1:252" s="179" customFormat="1" ht="43.5" customHeight="1">
      <c r="A315" s="697" t="s">
        <v>3812</v>
      </c>
      <c r="IR315"/>
    </row>
    <row r="316" spans="1:252">
      <c r="A316" s="217" t="s">
        <v>593</v>
      </c>
      <c r="B316" s="196">
        <v>2338.1999999999998</v>
      </c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79"/>
      <c r="AT316" s="179"/>
      <c r="AU316" s="179"/>
      <c r="AV316" s="179"/>
      <c r="AW316" s="179"/>
      <c r="AX316" s="179"/>
      <c r="AY316" s="179"/>
      <c r="AZ316" s="179"/>
      <c r="BA316" s="179"/>
      <c r="BB316" s="179"/>
      <c r="BC316" s="179"/>
      <c r="BD316" s="179"/>
      <c r="BE316" s="179"/>
      <c r="BF316" s="179"/>
      <c r="BG316" s="179"/>
      <c r="BH316" s="179"/>
      <c r="BI316" s="179"/>
      <c r="BJ316" s="179"/>
      <c r="BK316" s="179"/>
      <c r="BL316" s="179"/>
      <c r="BM316" s="179"/>
      <c r="BN316" s="179"/>
      <c r="BO316" s="179"/>
      <c r="BP316" s="179"/>
      <c r="BQ316" s="179"/>
      <c r="BR316" s="179"/>
      <c r="BS316" s="179"/>
      <c r="BT316" s="179"/>
      <c r="BU316" s="179"/>
      <c r="BV316" s="179"/>
      <c r="BW316" s="179"/>
      <c r="BX316" s="179"/>
      <c r="BY316" s="179"/>
      <c r="BZ316" s="179"/>
      <c r="CA316" s="179"/>
      <c r="CB316" s="179"/>
      <c r="CC316" s="179"/>
      <c r="CD316" s="179"/>
      <c r="CE316" s="179"/>
      <c r="CF316" s="179"/>
      <c r="CG316" s="179"/>
      <c r="CH316" s="179"/>
      <c r="CI316" s="179"/>
      <c r="CJ316" s="179"/>
      <c r="CK316" s="179"/>
      <c r="CL316" s="179"/>
      <c r="CM316" s="179"/>
      <c r="CN316" s="179"/>
      <c r="CO316" s="179"/>
      <c r="CP316" s="179"/>
      <c r="CQ316" s="179"/>
      <c r="CR316" s="179"/>
      <c r="CS316" s="179"/>
      <c r="CT316" s="179"/>
      <c r="CU316" s="179"/>
      <c r="CV316" s="179"/>
      <c r="CW316" s="179"/>
      <c r="CX316" s="179"/>
      <c r="CY316" s="179"/>
      <c r="CZ316" s="179"/>
      <c r="DA316" s="179"/>
      <c r="DB316" s="179"/>
      <c r="DC316" s="179"/>
      <c r="DD316" s="179"/>
      <c r="DE316" s="179"/>
      <c r="DF316" s="179"/>
      <c r="DG316" s="179"/>
      <c r="DH316" s="179"/>
      <c r="DI316" s="179"/>
      <c r="DJ316" s="179"/>
      <c r="DK316" s="179"/>
      <c r="DL316" s="179"/>
      <c r="DM316" s="179"/>
      <c r="DN316" s="179"/>
      <c r="DO316" s="179"/>
      <c r="DP316" s="179"/>
      <c r="DQ316" s="179"/>
      <c r="DR316" s="179"/>
      <c r="DS316" s="179"/>
      <c r="DT316" s="179"/>
      <c r="DU316" s="179"/>
      <c r="DV316" s="179"/>
      <c r="DW316" s="179"/>
      <c r="DX316" s="179"/>
      <c r="DY316" s="179"/>
      <c r="DZ316" s="179"/>
      <c r="EA316" s="179"/>
      <c r="EB316" s="179"/>
      <c r="EC316" s="179"/>
      <c r="ED316" s="179"/>
      <c r="EE316" s="179"/>
      <c r="EF316" s="179"/>
      <c r="EG316" s="179"/>
      <c r="EH316" s="179"/>
      <c r="EI316" s="179"/>
      <c r="EJ316" s="179"/>
      <c r="EK316" s="179"/>
      <c r="EL316" s="179"/>
      <c r="EM316" s="179"/>
      <c r="EN316" s="179"/>
      <c r="EO316" s="179"/>
      <c r="EP316" s="179"/>
      <c r="EQ316" s="179"/>
      <c r="ER316" s="179"/>
      <c r="ES316" s="179"/>
      <c r="ET316" s="179"/>
      <c r="EU316" s="179"/>
      <c r="EV316" s="179"/>
      <c r="EW316" s="179"/>
      <c r="EX316" s="179"/>
      <c r="EY316" s="179"/>
      <c r="EZ316" s="179"/>
      <c r="FA316" s="179"/>
      <c r="FB316" s="179"/>
      <c r="FC316" s="179"/>
      <c r="FD316" s="179"/>
      <c r="FE316" s="179"/>
      <c r="FF316" s="179"/>
      <c r="FG316" s="179"/>
      <c r="FH316" s="179"/>
      <c r="FI316" s="179"/>
      <c r="FJ316" s="179"/>
      <c r="FK316" s="179"/>
      <c r="FL316" s="179"/>
      <c r="FM316" s="179"/>
      <c r="FN316" s="179"/>
      <c r="FO316" s="179"/>
      <c r="FP316" s="179"/>
      <c r="FQ316" s="179"/>
      <c r="FR316" s="179"/>
      <c r="FS316" s="179"/>
      <c r="FT316" s="179"/>
      <c r="FU316" s="179"/>
      <c r="FV316" s="179"/>
      <c r="FW316" s="179"/>
      <c r="FX316" s="179"/>
      <c r="FY316" s="179"/>
      <c r="FZ316" s="179"/>
      <c r="GA316" s="179"/>
      <c r="GB316" s="179"/>
      <c r="GC316" s="179"/>
      <c r="GD316" s="179"/>
      <c r="GE316" s="179"/>
      <c r="GF316" s="179"/>
      <c r="GG316" s="179"/>
      <c r="GH316" s="179"/>
      <c r="GI316" s="179"/>
      <c r="GJ316" s="179"/>
      <c r="GK316" s="179"/>
      <c r="GL316" s="179"/>
      <c r="GM316" s="179"/>
      <c r="GN316" s="179"/>
      <c r="GO316" s="179"/>
      <c r="GP316" s="179"/>
      <c r="GQ316" s="179"/>
      <c r="GR316" s="179"/>
      <c r="GS316" s="179"/>
      <c r="GT316" s="179"/>
      <c r="GU316" s="179"/>
      <c r="GV316" s="179"/>
      <c r="GW316" s="179"/>
      <c r="GX316" s="179"/>
      <c r="GY316" s="179"/>
      <c r="GZ316" s="179"/>
      <c r="HA316" s="179"/>
      <c r="HB316" s="179"/>
      <c r="HC316" s="179"/>
      <c r="HD316" s="179"/>
      <c r="HE316" s="179"/>
      <c r="HF316" s="179"/>
      <c r="HG316" s="179"/>
      <c r="HH316" s="179"/>
      <c r="HI316" s="179"/>
      <c r="HJ316" s="179"/>
      <c r="HK316" s="179"/>
      <c r="HL316" s="179"/>
      <c r="HM316" s="179"/>
      <c r="HN316" s="179"/>
      <c r="HO316" s="179"/>
      <c r="HP316" s="179"/>
      <c r="HQ316" s="179"/>
      <c r="HR316" s="179"/>
      <c r="HS316" s="179"/>
      <c r="HT316" s="179"/>
      <c r="HU316" s="179"/>
      <c r="HV316" s="179"/>
      <c r="HW316" s="179"/>
      <c r="HX316" s="179"/>
      <c r="HY316" s="179"/>
      <c r="HZ316" s="179"/>
      <c r="IA316" s="179"/>
      <c r="IB316" s="179"/>
      <c r="IC316" s="179"/>
      <c r="ID316" s="179"/>
      <c r="IE316" s="179"/>
      <c r="IF316" s="179"/>
      <c r="IG316" s="179"/>
      <c r="IH316" s="179"/>
      <c r="II316" s="179"/>
      <c r="IJ316" s="179"/>
      <c r="IK316" s="179"/>
      <c r="IL316" s="179"/>
      <c r="IM316" s="179"/>
      <c r="IN316" s="179"/>
      <c r="IO316" s="179"/>
      <c r="IP316" s="179"/>
      <c r="IQ316" s="179"/>
    </row>
    <row r="317" spans="1:252">
      <c r="A317" s="217" t="s">
        <v>594</v>
      </c>
      <c r="B317" s="196">
        <f>19.16+28.89</f>
        <v>48.05</v>
      </c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79"/>
      <c r="AT317" s="179"/>
      <c r="AU317" s="179"/>
      <c r="AV317" s="179"/>
      <c r="AW317" s="179"/>
      <c r="AX317" s="179"/>
      <c r="AY317" s="179"/>
      <c r="AZ317" s="179"/>
      <c r="BA317" s="179"/>
      <c r="BB317" s="179"/>
      <c r="BC317" s="179"/>
      <c r="BD317" s="179"/>
      <c r="BE317" s="179"/>
      <c r="BF317" s="179"/>
      <c r="BG317" s="179"/>
      <c r="BH317" s="179"/>
      <c r="BI317" s="179"/>
      <c r="BJ317" s="179"/>
      <c r="BK317" s="179"/>
      <c r="BL317" s="179"/>
      <c r="BM317" s="179"/>
      <c r="BN317" s="179"/>
      <c r="BO317" s="179"/>
      <c r="BP317" s="179"/>
      <c r="BQ317" s="179"/>
      <c r="BR317" s="179"/>
      <c r="BS317" s="179"/>
      <c r="BT317" s="179"/>
      <c r="BU317" s="179"/>
      <c r="BV317" s="179"/>
      <c r="BW317" s="179"/>
      <c r="BX317" s="179"/>
      <c r="BY317" s="179"/>
      <c r="BZ317" s="179"/>
      <c r="CA317" s="179"/>
      <c r="CB317" s="179"/>
      <c r="CC317" s="179"/>
      <c r="CD317" s="179"/>
      <c r="CE317" s="179"/>
      <c r="CF317" s="179"/>
      <c r="CG317" s="179"/>
      <c r="CH317" s="179"/>
      <c r="CI317" s="179"/>
      <c r="CJ317" s="179"/>
      <c r="CK317" s="179"/>
      <c r="CL317" s="179"/>
      <c r="CM317" s="179"/>
      <c r="CN317" s="179"/>
      <c r="CO317" s="179"/>
      <c r="CP317" s="179"/>
      <c r="CQ317" s="179"/>
      <c r="CR317" s="179"/>
      <c r="CS317" s="179"/>
      <c r="CT317" s="179"/>
      <c r="CU317" s="179"/>
      <c r="CV317" s="179"/>
      <c r="CW317" s="179"/>
      <c r="CX317" s="179"/>
      <c r="CY317" s="179"/>
      <c r="CZ317" s="179"/>
      <c r="DA317" s="179"/>
      <c r="DB317" s="179"/>
      <c r="DC317" s="179"/>
      <c r="DD317" s="179"/>
      <c r="DE317" s="179"/>
      <c r="DF317" s="179"/>
      <c r="DG317" s="179"/>
      <c r="DH317" s="179"/>
      <c r="DI317" s="179"/>
      <c r="DJ317" s="179"/>
      <c r="DK317" s="179"/>
      <c r="DL317" s="179"/>
      <c r="DM317" s="179"/>
      <c r="DN317" s="179"/>
      <c r="DO317" s="179"/>
      <c r="DP317" s="179"/>
      <c r="DQ317" s="179"/>
      <c r="DR317" s="179"/>
      <c r="DS317" s="179"/>
      <c r="DT317" s="179"/>
      <c r="DU317" s="179"/>
      <c r="DV317" s="179"/>
      <c r="DW317" s="179"/>
      <c r="DX317" s="179"/>
      <c r="DY317" s="179"/>
      <c r="DZ317" s="179"/>
      <c r="EA317" s="179"/>
      <c r="EB317" s="179"/>
      <c r="EC317" s="179"/>
      <c r="ED317" s="179"/>
      <c r="EE317" s="179"/>
      <c r="EF317" s="179"/>
      <c r="EG317" s="179"/>
      <c r="EH317" s="179"/>
      <c r="EI317" s="179"/>
      <c r="EJ317" s="179"/>
      <c r="EK317" s="179"/>
      <c r="EL317" s="179"/>
      <c r="EM317" s="179"/>
      <c r="EN317" s="179"/>
      <c r="EO317" s="179"/>
      <c r="EP317" s="179"/>
      <c r="EQ317" s="179"/>
      <c r="ER317" s="179"/>
      <c r="ES317" s="179"/>
      <c r="ET317" s="179"/>
      <c r="EU317" s="179"/>
      <c r="EV317" s="179"/>
      <c r="EW317" s="179"/>
      <c r="EX317" s="179"/>
      <c r="EY317" s="179"/>
      <c r="EZ317" s="179"/>
      <c r="FA317" s="179"/>
      <c r="FB317" s="179"/>
      <c r="FC317" s="179"/>
      <c r="FD317" s="179"/>
      <c r="FE317" s="179"/>
      <c r="FF317" s="179"/>
      <c r="FG317" s="179"/>
      <c r="FH317" s="179"/>
      <c r="FI317" s="179"/>
      <c r="FJ317" s="179"/>
      <c r="FK317" s="179"/>
      <c r="FL317" s="179"/>
      <c r="FM317" s="179"/>
      <c r="FN317" s="179"/>
      <c r="FO317" s="179"/>
      <c r="FP317" s="179"/>
      <c r="FQ317" s="179"/>
      <c r="FR317" s="179"/>
      <c r="FS317" s="179"/>
      <c r="FT317" s="179"/>
      <c r="FU317" s="179"/>
      <c r="FV317" s="179"/>
      <c r="FW317" s="179"/>
      <c r="FX317" s="179"/>
      <c r="FY317" s="179"/>
      <c r="FZ317" s="179"/>
      <c r="GA317" s="179"/>
      <c r="GB317" s="179"/>
      <c r="GC317" s="179"/>
      <c r="GD317" s="179"/>
      <c r="GE317" s="179"/>
      <c r="GF317" s="179"/>
      <c r="GG317" s="179"/>
      <c r="GH317" s="179"/>
      <c r="GI317" s="179"/>
      <c r="GJ317" s="179"/>
      <c r="GK317" s="179"/>
      <c r="GL317" s="179"/>
      <c r="GM317" s="179"/>
      <c r="GN317" s="179"/>
      <c r="GO317" s="179"/>
      <c r="GP317" s="179"/>
      <c r="GQ317" s="179"/>
      <c r="GR317" s="179"/>
      <c r="GS317" s="179"/>
      <c r="GT317" s="179"/>
      <c r="GU317" s="179"/>
      <c r="GV317" s="179"/>
      <c r="GW317" s="179"/>
      <c r="GX317" s="179"/>
      <c r="GY317" s="179"/>
      <c r="GZ317" s="179"/>
      <c r="HA317" s="179"/>
      <c r="HB317" s="179"/>
      <c r="HC317" s="179"/>
      <c r="HD317" s="179"/>
      <c r="HE317" s="179"/>
      <c r="HF317" s="179"/>
      <c r="HG317" s="179"/>
      <c r="HH317" s="179"/>
      <c r="HI317" s="179"/>
      <c r="HJ317" s="179"/>
      <c r="HK317" s="179"/>
      <c r="HL317" s="179"/>
      <c r="HM317" s="179"/>
      <c r="HN317" s="179"/>
      <c r="HO317" s="179"/>
      <c r="HP317" s="179"/>
      <c r="HQ317" s="179"/>
      <c r="HR317" s="179"/>
      <c r="HS317" s="179"/>
      <c r="HT317" s="179"/>
      <c r="HU317" s="179"/>
      <c r="HV317" s="179"/>
      <c r="HW317" s="179"/>
      <c r="HX317" s="179"/>
      <c r="HY317" s="179"/>
      <c r="HZ317" s="179"/>
      <c r="IA317" s="179"/>
      <c r="IB317" s="179"/>
      <c r="IC317" s="179"/>
      <c r="ID317" s="179"/>
      <c r="IE317" s="179"/>
      <c r="IF317" s="179"/>
      <c r="IG317" s="179"/>
      <c r="IH317" s="179"/>
      <c r="II317" s="179"/>
      <c r="IJ317" s="179"/>
      <c r="IK317" s="179"/>
      <c r="IL317" s="179"/>
      <c r="IM317" s="179"/>
      <c r="IN317" s="179"/>
      <c r="IO317" s="179"/>
      <c r="IP317" s="179"/>
      <c r="IQ317" s="179"/>
    </row>
    <row r="318" spans="1:252">
      <c r="A318" s="218" t="s">
        <v>711</v>
      </c>
      <c r="B318" s="193">
        <v>540747.46</v>
      </c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79"/>
      <c r="AT318" s="179"/>
      <c r="AU318" s="179"/>
      <c r="AV318" s="179"/>
      <c r="AW318" s="179"/>
      <c r="AX318" s="179"/>
      <c r="AY318" s="179"/>
      <c r="AZ318" s="179"/>
      <c r="BA318" s="179"/>
      <c r="BB318" s="179"/>
      <c r="BC318" s="179"/>
      <c r="BD318" s="179"/>
      <c r="BE318" s="179"/>
      <c r="BF318" s="179"/>
      <c r="BG318" s="179"/>
      <c r="BH318" s="179"/>
      <c r="BI318" s="179"/>
      <c r="BJ318" s="179"/>
      <c r="BK318" s="179"/>
      <c r="BL318" s="179"/>
      <c r="BM318" s="179"/>
      <c r="BN318" s="179"/>
      <c r="BO318" s="179"/>
      <c r="BP318" s="179"/>
      <c r="BQ318" s="179"/>
      <c r="BR318" s="179"/>
      <c r="BS318" s="179"/>
      <c r="BT318" s="179"/>
      <c r="BU318" s="179"/>
      <c r="BV318" s="179"/>
      <c r="BW318" s="179"/>
      <c r="BX318" s="179"/>
      <c r="BY318" s="179"/>
      <c r="BZ318" s="179"/>
      <c r="CA318" s="179"/>
      <c r="CB318" s="179"/>
      <c r="CC318" s="179"/>
      <c r="CD318" s="179"/>
      <c r="CE318" s="179"/>
      <c r="CF318" s="179"/>
      <c r="CG318" s="179"/>
      <c r="CH318" s="179"/>
      <c r="CI318" s="179"/>
      <c r="CJ318" s="179"/>
      <c r="CK318" s="179"/>
      <c r="CL318" s="179"/>
      <c r="CM318" s="179"/>
      <c r="CN318" s="179"/>
      <c r="CO318" s="179"/>
      <c r="CP318" s="179"/>
      <c r="CQ318" s="179"/>
      <c r="CR318" s="179"/>
      <c r="CS318" s="179"/>
      <c r="CT318" s="179"/>
      <c r="CU318" s="179"/>
      <c r="CV318" s="179"/>
      <c r="CW318" s="179"/>
      <c r="CX318" s="179"/>
      <c r="CY318" s="179"/>
      <c r="CZ318" s="179"/>
      <c r="DA318" s="179"/>
      <c r="DB318" s="179"/>
      <c r="DC318" s="179"/>
      <c r="DD318" s="179"/>
      <c r="DE318" s="179"/>
      <c r="DF318" s="179"/>
      <c r="DG318" s="179"/>
      <c r="DH318" s="179"/>
      <c r="DI318" s="179"/>
      <c r="DJ318" s="179"/>
      <c r="DK318" s="179"/>
      <c r="DL318" s="179"/>
      <c r="DM318" s="179"/>
      <c r="DN318" s="179"/>
      <c r="DO318" s="179"/>
      <c r="DP318" s="179"/>
      <c r="DQ318" s="179"/>
      <c r="DR318" s="179"/>
      <c r="DS318" s="179"/>
      <c r="DT318" s="179"/>
      <c r="DU318" s="179"/>
      <c r="DV318" s="179"/>
      <c r="DW318" s="179"/>
      <c r="DX318" s="179"/>
      <c r="DY318" s="179"/>
      <c r="DZ318" s="179"/>
      <c r="EA318" s="179"/>
      <c r="EB318" s="179"/>
      <c r="EC318" s="179"/>
      <c r="ED318" s="179"/>
      <c r="EE318" s="179"/>
      <c r="EF318" s="179"/>
      <c r="EG318" s="179"/>
      <c r="EH318" s="179"/>
      <c r="EI318" s="179"/>
      <c r="EJ318" s="179"/>
      <c r="EK318" s="179"/>
      <c r="EL318" s="179"/>
      <c r="EM318" s="179"/>
      <c r="EN318" s="179"/>
      <c r="EO318" s="179"/>
      <c r="EP318" s="179"/>
      <c r="EQ318" s="179"/>
      <c r="ER318" s="179"/>
      <c r="ES318" s="179"/>
      <c r="ET318" s="179"/>
      <c r="EU318" s="179"/>
      <c r="EV318" s="179"/>
      <c r="EW318" s="179"/>
      <c r="EX318" s="179"/>
      <c r="EY318" s="179"/>
      <c r="EZ318" s="179"/>
      <c r="FA318" s="179"/>
      <c r="FB318" s="179"/>
      <c r="FC318" s="179"/>
      <c r="FD318" s="179"/>
      <c r="FE318" s="179"/>
      <c r="FF318" s="179"/>
      <c r="FG318" s="179"/>
      <c r="FH318" s="179"/>
      <c r="FI318" s="179"/>
      <c r="FJ318" s="179"/>
      <c r="FK318" s="179"/>
      <c r="FL318" s="179"/>
      <c r="FM318" s="179"/>
      <c r="FN318" s="179"/>
      <c r="FO318" s="179"/>
      <c r="FP318" s="179"/>
      <c r="FQ318" s="179"/>
      <c r="FR318" s="179"/>
      <c r="FS318" s="179"/>
      <c r="FT318" s="179"/>
      <c r="FU318" s="179"/>
      <c r="FV318" s="179"/>
      <c r="FW318" s="179"/>
      <c r="FX318" s="179"/>
      <c r="FY318" s="179"/>
      <c r="FZ318" s="179"/>
      <c r="GA318" s="179"/>
      <c r="GB318" s="179"/>
      <c r="GC318" s="179"/>
      <c r="GD318" s="179"/>
      <c r="GE318" s="179"/>
      <c r="GF318" s="179"/>
      <c r="GG318" s="179"/>
      <c r="GH318" s="179"/>
      <c r="GI318" s="179"/>
      <c r="GJ318" s="179"/>
      <c r="GK318" s="179"/>
      <c r="GL318" s="179"/>
      <c r="GM318" s="179"/>
      <c r="GN318" s="179"/>
      <c r="GO318" s="179"/>
      <c r="GP318" s="179"/>
      <c r="GQ318" s="179"/>
      <c r="GR318" s="179"/>
      <c r="GS318" s="179"/>
      <c r="GT318" s="179"/>
      <c r="GU318" s="179"/>
      <c r="GV318" s="179"/>
      <c r="GW318" s="179"/>
      <c r="GX318" s="179"/>
      <c r="GY318" s="179"/>
      <c r="GZ318" s="179"/>
      <c r="HA318" s="179"/>
      <c r="HB318" s="179"/>
      <c r="HC318" s="179"/>
      <c r="HD318" s="179"/>
      <c r="HE318" s="179"/>
      <c r="HF318" s="179"/>
      <c r="HG318" s="179"/>
      <c r="HH318" s="179"/>
      <c r="HI318" s="179"/>
      <c r="HJ318" s="179"/>
      <c r="HK318" s="179"/>
      <c r="HL318" s="179"/>
      <c r="HM318" s="179"/>
      <c r="HN318" s="179"/>
      <c r="HO318" s="179"/>
      <c r="HP318" s="179"/>
      <c r="HQ318" s="179"/>
      <c r="HR318" s="179"/>
      <c r="HS318" s="179"/>
      <c r="HT318" s="179"/>
      <c r="HU318" s="179"/>
      <c r="HV318" s="179"/>
      <c r="HW318" s="179"/>
      <c r="HX318" s="179"/>
      <c r="HY318" s="179"/>
      <c r="HZ318" s="179"/>
      <c r="IA318" s="179"/>
      <c r="IB318" s="179"/>
      <c r="IC318" s="179"/>
      <c r="ID318" s="179"/>
      <c r="IE318" s="179"/>
      <c r="IF318" s="179"/>
      <c r="IG318" s="179"/>
      <c r="IH318" s="179"/>
      <c r="II318" s="179"/>
      <c r="IJ318" s="179"/>
      <c r="IK318" s="179"/>
      <c r="IL318" s="179"/>
      <c r="IM318" s="179"/>
      <c r="IN318" s="179"/>
      <c r="IO318" s="179"/>
      <c r="IP318" s="179"/>
      <c r="IQ318" s="179"/>
    </row>
    <row r="319" spans="1:252">
      <c r="A319" s="218" t="s">
        <v>2417</v>
      </c>
      <c r="B319" s="193">
        <f>810080.08+537254.76</f>
        <v>1347334.8399999999</v>
      </c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79"/>
      <c r="AT319" s="179"/>
      <c r="AU319" s="179"/>
      <c r="AV319" s="179"/>
      <c r="AW319" s="179"/>
      <c r="AX319" s="179"/>
      <c r="AY319" s="179"/>
      <c r="AZ319" s="179"/>
      <c r="BA319" s="179"/>
      <c r="BB319" s="179"/>
      <c r="BC319" s="179"/>
      <c r="BD319" s="179"/>
      <c r="BE319" s="179"/>
      <c r="BF319" s="179"/>
      <c r="BG319" s="179"/>
      <c r="BH319" s="179"/>
      <c r="BI319" s="179"/>
      <c r="BJ319" s="179"/>
      <c r="BK319" s="179"/>
      <c r="BL319" s="179"/>
      <c r="BM319" s="179"/>
      <c r="BN319" s="179"/>
      <c r="BO319" s="179"/>
      <c r="BP319" s="179"/>
      <c r="BQ319" s="179"/>
      <c r="BR319" s="179"/>
      <c r="BS319" s="179"/>
      <c r="BT319" s="179"/>
      <c r="BU319" s="179"/>
      <c r="BV319" s="179"/>
      <c r="BW319" s="179"/>
      <c r="BX319" s="179"/>
      <c r="BY319" s="179"/>
      <c r="BZ319" s="179"/>
      <c r="CA319" s="179"/>
      <c r="CB319" s="179"/>
      <c r="CC319" s="179"/>
      <c r="CD319" s="179"/>
      <c r="CE319" s="179"/>
      <c r="CF319" s="179"/>
      <c r="CG319" s="179"/>
      <c r="CH319" s="179"/>
      <c r="CI319" s="179"/>
      <c r="CJ319" s="179"/>
      <c r="CK319" s="179"/>
      <c r="CL319" s="179"/>
      <c r="CM319" s="179"/>
      <c r="CN319" s="179"/>
      <c r="CO319" s="179"/>
      <c r="CP319" s="179"/>
      <c r="CQ319" s="179"/>
      <c r="CR319" s="179"/>
      <c r="CS319" s="179"/>
      <c r="CT319" s="179"/>
      <c r="CU319" s="179"/>
      <c r="CV319" s="179"/>
      <c r="CW319" s="179"/>
      <c r="CX319" s="179"/>
      <c r="CY319" s="179"/>
      <c r="CZ319" s="179"/>
      <c r="DA319" s="179"/>
      <c r="DB319" s="179"/>
      <c r="DC319" s="179"/>
      <c r="DD319" s="179"/>
      <c r="DE319" s="179"/>
      <c r="DF319" s="179"/>
      <c r="DG319" s="179"/>
      <c r="DH319" s="179"/>
      <c r="DI319" s="179"/>
      <c r="DJ319" s="179"/>
      <c r="DK319" s="179"/>
      <c r="DL319" s="179"/>
      <c r="DM319" s="179"/>
      <c r="DN319" s="179"/>
      <c r="DO319" s="179"/>
      <c r="DP319" s="179"/>
      <c r="DQ319" s="179"/>
      <c r="DR319" s="179"/>
      <c r="DS319" s="179"/>
      <c r="DT319" s="179"/>
      <c r="DU319" s="179"/>
      <c r="DV319" s="179"/>
      <c r="DW319" s="179"/>
      <c r="DX319" s="179"/>
      <c r="DY319" s="179"/>
      <c r="DZ319" s="179"/>
      <c r="EA319" s="179"/>
      <c r="EB319" s="179"/>
      <c r="EC319" s="179"/>
      <c r="ED319" s="179"/>
      <c r="EE319" s="179"/>
      <c r="EF319" s="179"/>
      <c r="EG319" s="179"/>
      <c r="EH319" s="179"/>
      <c r="EI319" s="179"/>
      <c r="EJ319" s="179"/>
      <c r="EK319" s="179"/>
      <c r="EL319" s="179"/>
      <c r="EM319" s="179"/>
      <c r="EN319" s="179"/>
      <c r="EO319" s="179"/>
      <c r="EP319" s="179"/>
      <c r="EQ319" s="179"/>
      <c r="ER319" s="179"/>
      <c r="ES319" s="179"/>
      <c r="ET319" s="179"/>
      <c r="EU319" s="179"/>
      <c r="EV319" s="179"/>
      <c r="EW319" s="179"/>
      <c r="EX319" s="179"/>
      <c r="EY319" s="179"/>
      <c r="EZ319" s="179"/>
      <c r="FA319" s="179"/>
      <c r="FB319" s="179"/>
      <c r="FC319" s="179"/>
      <c r="FD319" s="179"/>
      <c r="FE319" s="179"/>
      <c r="FF319" s="179"/>
      <c r="FG319" s="179"/>
      <c r="FH319" s="179"/>
      <c r="FI319" s="179"/>
      <c r="FJ319" s="179"/>
      <c r="FK319" s="179"/>
      <c r="FL319" s="179"/>
      <c r="FM319" s="179"/>
      <c r="FN319" s="179"/>
      <c r="FO319" s="179"/>
      <c r="FP319" s="179"/>
      <c r="FQ319" s="179"/>
      <c r="FR319" s="179"/>
      <c r="FS319" s="179"/>
      <c r="FT319" s="179"/>
      <c r="FU319" s="179"/>
      <c r="FV319" s="179"/>
      <c r="FW319" s="179"/>
      <c r="FX319" s="179"/>
      <c r="FY319" s="179"/>
      <c r="FZ319" s="179"/>
      <c r="GA319" s="179"/>
      <c r="GB319" s="179"/>
      <c r="GC319" s="179"/>
      <c r="GD319" s="179"/>
      <c r="GE319" s="179"/>
      <c r="GF319" s="179"/>
      <c r="GG319" s="179"/>
      <c r="GH319" s="179"/>
      <c r="GI319" s="179"/>
      <c r="GJ319" s="179"/>
      <c r="GK319" s="179"/>
      <c r="GL319" s="179"/>
      <c r="GM319" s="179"/>
      <c r="GN319" s="179"/>
      <c r="GO319" s="179"/>
      <c r="GP319" s="179"/>
      <c r="GQ319" s="179"/>
      <c r="GR319" s="179"/>
      <c r="GS319" s="179"/>
      <c r="GT319" s="179"/>
      <c r="GU319" s="179"/>
      <c r="GV319" s="179"/>
      <c r="GW319" s="179"/>
      <c r="GX319" s="179"/>
      <c r="GY319" s="179"/>
      <c r="GZ319" s="179"/>
      <c r="HA319" s="179"/>
      <c r="HB319" s="179"/>
      <c r="HC319" s="179"/>
      <c r="HD319" s="179"/>
      <c r="HE319" s="179"/>
      <c r="HF319" s="179"/>
      <c r="HG319" s="179"/>
      <c r="HH319" s="179"/>
      <c r="HI319" s="179"/>
      <c r="HJ319" s="179"/>
      <c r="HK319" s="179"/>
      <c r="HL319" s="179"/>
      <c r="HM319" s="179"/>
      <c r="HN319" s="179"/>
      <c r="HO319" s="179"/>
      <c r="HP319" s="179"/>
      <c r="HQ319" s="179"/>
      <c r="HR319" s="179"/>
      <c r="HS319" s="179"/>
      <c r="HT319" s="179"/>
      <c r="HU319" s="179"/>
      <c r="HV319" s="179"/>
      <c r="HW319" s="179"/>
      <c r="HX319" s="179"/>
      <c r="HY319" s="179"/>
      <c r="HZ319" s="179"/>
      <c r="IA319" s="179"/>
      <c r="IB319" s="179"/>
      <c r="IC319" s="179"/>
      <c r="ID319" s="179"/>
      <c r="IE319" s="179"/>
      <c r="IF319" s="179"/>
      <c r="IG319" s="179"/>
      <c r="IH319" s="179"/>
      <c r="II319" s="179"/>
      <c r="IJ319" s="179"/>
      <c r="IK319" s="179"/>
      <c r="IL319" s="179"/>
      <c r="IM319" s="179"/>
      <c r="IN319" s="179"/>
      <c r="IO319" s="179"/>
      <c r="IP319" s="179"/>
      <c r="IQ319" s="179"/>
    </row>
    <row r="320" spans="1:252">
      <c r="A320" s="218" t="s">
        <v>1602</v>
      </c>
      <c r="B320" s="193">
        <v>16729.16</v>
      </c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79"/>
      <c r="AT320" s="179"/>
      <c r="AU320" s="179"/>
      <c r="AV320" s="179"/>
      <c r="AW320" s="179"/>
      <c r="AX320" s="179"/>
      <c r="AY320" s="179"/>
      <c r="AZ320" s="179"/>
      <c r="BA320" s="179"/>
      <c r="BB320" s="179"/>
      <c r="BC320" s="179"/>
      <c r="BD320" s="179"/>
      <c r="BE320" s="179"/>
      <c r="BF320" s="179"/>
      <c r="BG320" s="179"/>
      <c r="BH320" s="179"/>
      <c r="BI320" s="179"/>
      <c r="BJ320" s="179"/>
      <c r="BK320" s="179"/>
      <c r="BL320" s="179"/>
      <c r="BM320" s="179"/>
      <c r="BN320" s="179"/>
      <c r="BO320" s="179"/>
      <c r="BP320" s="179"/>
      <c r="BQ320" s="179"/>
      <c r="BR320" s="179"/>
      <c r="BS320" s="179"/>
      <c r="BT320" s="179"/>
      <c r="BU320" s="179"/>
      <c r="BV320" s="179"/>
      <c r="BW320" s="179"/>
      <c r="BX320" s="179"/>
      <c r="BY320" s="179"/>
      <c r="BZ320" s="179"/>
      <c r="CA320" s="179"/>
      <c r="CB320" s="179"/>
      <c r="CC320" s="179"/>
      <c r="CD320" s="179"/>
      <c r="CE320" s="179"/>
      <c r="CF320" s="179"/>
      <c r="CG320" s="179"/>
      <c r="CH320" s="179"/>
      <c r="CI320" s="179"/>
      <c r="CJ320" s="179"/>
      <c r="CK320" s="179"/>
      <c r="CL320" s="179"/>
      <c r="CM320" s="179"/>
      <c r="CN320" s="179"/>
      <c r="CO320" s="179"/>
      <c r="CP320" s="179"/>
      <c r="CQ320" s="179"/>
      <c r="CR320" s="179"/>
      <c r="CS320" s="179"/>
      <c r="CT320" s="179"/>
      <c r="CU320" s="179"/>
      <c r="CV320" s="179"/>
      <c r="CW320" s="179"/>
      <c r="CX320" s="179"/>
      <c r="CY320" s="179"/>
      <c r="CZ320" s="179"/>
      <c r="DA320" s="179"/>
      <c r="DB320" s="179"/>
      <c r="DC320" s="179"/>
      <c r="DD320" s="179"/>
      <c r="DE320" s="179"/>
      <c r="DF320" s="179"/>
      <c r="DG320" s="179"/>
      <c r="DH320" s="179"/>
      <c r="DI320" s="179"/>
      <c r="DJ320" s="179"/>
      <c r="DK320" s="179"/>
      <c r="DL320" s="179"/>
      <c r="DM320" s="179"/>
      <c r="DN320" s="179"/>
      <c r="DO320" s="179"/>
      <c r="DP320" s="179"/>
      <c r="DQ320" s="179"/>
      <c r="DR320" s="179"/>
      <c r="DS320" s="179"/>
      <c r="DT320" s="179"/>
      <c r="DU320" s="179"/>
      <c r="DV320" s="179"/>
      <c r="DW320" s="179"/>
      <c r="DX320" s="179"/>
      <c r="DY320" s="179"/>
      <c r="DZ320" s="179"/>
      <c r="EA320" s="179"/>
      <c r="EB320" s="179"/>
      <c r="EC320" s="179"/>
      <c r="ED320" s="179"/>
      <c r="EE320" s="179"/>
      <c r="EF320" s="179"/>
      <c r="EG320" s="179"/>
      <c r="EH320" s="179"/>
      <c r="EI320" s="179"/>
      <c r="EJ320" s="179"/>
      <c r="EK320" s="179"/>
      <c r="EL320" s="179"/>
      <c r="EM320" s="179"/>
      <c r="EN320" s="179"/>
      <c r="EO320" s="179"/>
      <c r="EP320" s="179"/>
      <c r="EQ320" s="179"/>
      <c r="ER320" s="179"/>
      <c r="ES320" s="179"/>
      <c r="ET320" s="179"/>
      <c r="EU320" s="179"/>
      <c r="EV320" s="179"/>
      <c r="EW320" s="179"/>
      <c r="EX320" s="179"/>
      <c r="EY320" s="179"/>
      <c r="EZ320" s="179"/>
      <c r="FA320" s="179"/>
      <c r="FB320" s="179"/>
      <c r="FC320" s="179"/>
      <c r="FD320" s="179"/>
      <c r="FE320" s="179"/>
      <c r="FF320" s="179"/>
      <c r="FG320" s="179"/>
      <c r="FH320" s="179"/>
      <c r="FI320" s="179"/>
      <c r="FJ320" s="179"/>
      <c r="FK320" s="179"/>
      <c r="FL320" s="179"/>
      <c r="FM320" s="179"/>
      <c r="FN320" s="179"/>
      <c r="FO320" s="179"/>
      <c r="FP320" s="179"/>
      <c r="FQ320" s="179"/>
      <c r="FR320" s="179"/>
      <c r="FS320" s="179"/>
      <c r="FT320" s="179"/>
      <c r="FU320" s="179"/>
      <c r="FV320" s="179"/>
      <c r="FW320" s="179"/>
      <c r="FX320" s="179"/>
      <c r="FY320" s="179"/>
      <c r="FZ320" s="179"/>
      <c r="GA320" s="179"/>
      <c r="GB320" s="179"/>
      <c r="GC320" s="179"/>
      <c r="GD320" s="179"/>
      <c r="GE320" s="179"/>
      <c r="GF320" s="179"/>
      <c r="GG320" s="179"/>
      <c r="GH320" s="179"/>
      <c r="GI320" s="179"/>
      <c r="GJ320" s="179"/>
      <c r="GK320" s="179"/>
      <c r="GL320" s="179"/>
      <c r="GM320" s="179"/>
      <c r="GN320" s="179"/>
      <c r="GO320" s="179"/>
      <c r="GP320" s="179"/>
      <c r="GQ320" s="179"/>
      <c r="GR320" s="179"/>
      <c r="GS320" s="179"/>
      <c r="GT320" s="179"/>
      <c r="GU320" s="179"/>
      <c r="GV320" s="179"/>
      <c r="GW320" s="179"/>
      <c r="GX320" s="179"/>
      <c r="GY320" s="179"/>
      <c r="GZ320" s="179"/>
      <c r="HA320" s="179"/>
      <c r="HB320" s="179"/>
      <c r="HC320" s="179"/>
      <c r="HD320" s="179"/>
      <c r="HE320" s="179"/>
      <c r="HF320" s="179"/>
      <c r="HG320" s="179"/>
      <c r="HH320" s="179"/>
      <c r="HI320" s="179"/>
      <c r="HJ320" s="179"/>
      <c r="HK320" s="179"/>
      <c r="HL320" s="179"/>
      <c r="HM320" s="179"/>
      <c r="HN320" s="179"/>
      <c r="HO320" s="179"/>
      <c r="HP320" s="179"/>
      <c r="HQ320" s="179"/>
      <c r="HR320" s="179"/>
      <c r="HS320" s="179"/>
      <c r="HT320" s="179"/>
      <c r="HU320" s="179"/>
      <c r="HV320" s="179"/>
      <c r="HW320" s="179"/>
      <c r="HX320" s="179"/>
      <c r="HY320" s="179"/>
      <c r="HZ320" s="179"/>
      <c r="IA320" s="179"/>
      <c r="IB320" s="179"/>
      <c r="IC320" s="179"/>
      <c r="ID320" s="179"/>
      <c r="IE320" s="179"/>
      <c r="IF320" s="179"/>
      <c r="IG320" s="179"/>
      <c r="IH320" s="179"/>
      <c r="II320" s="179"/>
      <c r="IJ320" s="179"/>
      <c r="IK320" s="179"/>
      <c r="IL320" s="179"/>
      <c r="IM320" s="179"/>
      <c r="IN320" s="179"/>
      <c r="IO320" s="179"/>
      <c r="IP320" s="179"/>
      <c r="IQ320" s="179"/>
    </row>
    <row r="321" spans="1:251">
      <c r="A321" s="218" t="s">
        <v>1598</v>
      </c>
      <c r="B321" s="193">
        <f>B318+B319+B320-B322</f>
        <v>1159533.7399999998</v>
      </c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  <c r="AA321" s="179"/>
      <c r="AB321" s="179"/>
      <c r="AC321" s="179"/>
      <c r="AD321" s="179"/>
      <c r="AE321" s="179"/>
      <c r="AF321" s="179"/>
      <c r="AG321" s="179"/>
      <c r="AH321" s="179"/>
      <c r="AI321" s="179"/>
      <c r="AJ321" s="179"/>
      <c r="AK321" s="179"/>
      <c r="AL321" s="179"/>
      <c r="AM321" s="179"/>
      <c r="AN321" s="179"/>
      <c r="AO321" s="179"/>
      <c r="AP321" s="179"/>
      <c r="AQ321" s="179"/>
      <c r="AR321" s="179"/>
      <c r="AS321" s="179"/>
      <c r="AT321" s="179"/>
      <c r="AU321" s="179"/>
      <c r="AV321" s="179"/>
      <c r="AW321" s="179"/>
      <c r="AX321" s="179"/>
      <c r="AY321" s="179"/>
      <c r="AZ321" s="179"/>
      <c r="BA321" s="179"/>
      <c r="BB321" s="179"/>
      <c r="BC321" s="179"/>
      <c r="BD321" s="179"/>
      <c r="BE321" s="179"/>
      <c r="BF321" s="179"/>
      <c r="BG321" s="179"/>
      <c r="BH321" s="179"/>
      <c r="BI321" s="179"/>
      <c r="BJ321" s="179"/>
      <c r="BK321" s="179"/>
      <c r="BL321" s="179"/>
      <c r="BM321" s="179"/>
      <c r="BN321" s="179"/>
      <c r="BO321" s="179"/>
      <c r="BP321" s="179"/>
      <c r="BQ321" s="179"/>
      <c r="BR321" s="179"/>
      <c r="BS321" s="179"/>
      <c r="BT321" s="179"/>
      <c r="BU321" s="179"/>
      <c r="BV321" s="179"/>
      <c r="BW321" s="179"/>
      <c r="BX321" s="179"/>
      <c r="BY321" s="179"/>
      <c r="BZ321" s="179"/>
      <c r="CA321" s="179"/>
      <c r="CB321" s="179"/>
      <c r="CC321" s="179"/>
      <c r="CD321" s="179"/>
      <c r="CE321" s="179"/>
      <c r="CF321" s="179"/>
      <c r="CG321" s="179"/>
      <c r="CH321" s="179"/>
      <c r="CI321" s="179"/>
      <c r="CJ321" s="179"/>
      <c r="CK321" s="179"/>
      <c r="CL321" s="179"/>
      <c r="CM321" s="179"/>
      <c r="CN321" s="179"/>
      <c r="CO321" s="179"/>
      <c r="CP321" s="179"/>
      <c r="CQ321" s="179"/>
      <c r="CR321" s="179"/>
      <c r="CS321" s="179"/>
      <c r="CT321" s="179"/>
      <c r="CU321" s="179"/>
      <c r="CV321" s="179"/>
      <c r="CW321" s="179"/>
      <c r="CX321" s="179"/>
      <c r="CY321" s="179"/>
      <c r="CZ321" s="179"/>
      <c r="DA321" s="179"/>
      <c r="DB321" s="179"/>
      <c r="DC321" s="179"/>
      <c r="DD321" s="179"/>
      <c r="DE321" s="179"/>
      <c r="DF321" s="179"/>
      <c r="DG321" s="179"/>
      <c r="DH321" s="179"/>
      <c r="DI321" s="179"/>
      <c r="DJ321" s="179"/>
      <c r="DK321" s="179"/>
      <c r="DL321" s="179"/>
      <c r="DM321" s="179"/>
      <c r="DN321" s="179"/>
      <c r="DO321" s="179"/>
      <c r="DP321" s="179"/>
      <c r="DQ321" s="179"/>
      <c r="DR321" s="179"/>
      <c r="DS321" s="179"/>
      <c r="DT321" s="179"/>
      <c r="DU321" s="179"/>
      <c r="DV321" s="179"/>
      <c r="DW321" s="179"/>
      <c r="DX321" s="179"/>
      <c r="DY321" s="179"/>
      <c r="DZ321" s="179"/>
      <c r="EA321" s="179"/>
      <c r="EB321" s="179"/>
      <c r="EC321" s="179"/>
      <c r="ED321" s="179"/>
      <c r="EE321" s="179"/>
      <c r="EF321" s="179"/>
      <c r="EG321" s="179"/>
      <c r="EH321" s="179"/>
      <c r="EI321" s="179"/>
      <c r="EJ321" s="179"/>
      <c r="EK321" s="179"/>
      <c r="EL321" s="179"/>
      <c r="EM321" s="179"/>
      <c r="EN321" s="179"/>
      <c r="EO321" s="179"/>
      <c r="EP321" s="179"/>
      <c r="EQ321" s="179"/>
      <c r="ER321" s="179"/>
      <c r="ES321" s="179"/>
      <c r="ET321" s="179"/>
      <c r="EU321" s="179"/>
      <c r="EV321" s="179"/>
      <c r="EW321" s="179"/>
      <c r="EX321" s="179"/>
      <c r="EY321" s="179"/>
      <c r="EZ321" s="179"/>
      <c r="FA321" s="179"/>
      <c r="FB321" s="179"/>
      <c r="FC321" s="179"/>
      <c r="FD321" s="179"/>
      <c r="FE321" s="179"/>
      <c r="FF321" s="179"/>
      <c r="FG321" s="179"/>
      <c r="FH321" s="179"/>
      <c r="FI321" s="179"/>
      <c r="FJ321" s="179"/>
      <c r="FK321" s="179"/>
      <c r="FL321" s="179"/>
      <c r="FM321" s="179"/>
      <c r="FN321" s="179"/>
      <c r="FO321" s="179"/>
      <c r="FP321" s="179"/>
      <c r="FQ321" s="179"/>
      <c r="FR321" s="179"/>
      <c r="FS321" s="179"/>
      <c r="FT321" s="179"/>
      <c r="FU321" s="179"/>
      <c r="FV321" s="179"/>
      <c r="FW321" s="179"/>
      <c r="FX321" s="179"/>
      <c r="FY321" s="179"/>
      <c r="FZ321" s="179"/>
      <c r="GA321" s="179"/>
      <c r="GB321" s="179"/>
      <c r="GC321" s="179"/>
      <c r="GD321" s="179"/>
      <c r="GE321" s="179"/>
      <c r="GF321" s="179"/>
      <c r="GG321" s="179"/>
      <c r="GH321" s="179"/>
      <c r="GI321" s="179"/>
      <c r="GJ321" s="179"/>
      <c r="GK321" s="179"/>
      <c r="GL321" s="179"/>
      <c r="GM321" s="179"/>
      <c r="GN321" s="179"/>
      <c r="GO321" s="179"/>
      <c r="GP321" s="179"/>
      <c r="GQ321" s="179"/>
      <c r="GR321" s="179"/>
      <c r="GS321" s="179"/>
      <c r="GT321" s="179"/>
      <c r="GU321" s="179"/>
      <c r="GV321" s="179"/>
      <c r="GW321" s="179"/>
      <c r="GX321" s="179"/>
      <c r="GY321" s="179"/>
      <c r="GZ321" s="179"/>
      <c r="HA321" s="179"/>
      <c r="HB321" s="179"/>
      <c r="HC321" s="179"/>
      <c r="HD321" s="179"/>
      <c r="HE321" s="179"/>
      <c r="HF321" s="179"/>
      <c r="HG321" s="179"/>
      <c r="HH321" s="179"/>
      <c r="HI321" s="179"/>
      <c r="HJ321" s="179"/>
      <c r="HK321" s="179"/>
      <c r="HL321" s="179"/>
      <c r="HM321" s="179"/>
      <c r="HN321" s="179"/>
      <c r="HO321" s="179"/>
      <c r="HP321" s="179"/>
      <c r="HQ321" s="179"/>
      <c r="HR321" s="179"/>
      <c r="HS321" s="179"/>
      <c r="HT321" s="179"/>
      <c r="HU321" s="179"/>
      <c r="HV321" s="179"/>
      <c r="HW321" s="179"/>
      <c r="HX321" s="179"/>
      <c r="HY321" s="179"/>
      <c r="HZ321" s="179"/>
      <c r="IA321" s="179"/>
      <c r="IB321" s="179"/>
      <c r="IC321" s="179"/>
      <c r="ID321" s="179"/>
      <c r="IE321" s="179"/>
      <c r="IF321" s="179"/>
      <c r="IG321" s="179"/>
      <c r="IH321" s="179"/>
      <c r="II321" s="179"/>
      <c r="IJ321" s="179"/>
      <c r="IK321" s="179"/>
      <c r="IL321" s="179"/>
      <c r="IM321" s="179"/>
      <c r="IN321" s="179"/>
      <c r="IO321" s="179"/>
      <c r="IP321" s="179"/>
      <c r="IQ321" s="179"/>
    </row>
    <row r="322" spans="1:251">
      <c r="A322" s="218" t="s">
        <v>1597</v>
      </c>
      <c r="B322" s="193">
        <v>745277.72</v>
      </c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  <c r="AA322" s="179"/>
      <c r="AB322" s="179"/>
      <c r="AC322" s="179"/>
      <c r="AD322" s="179"/>
      <c r="AE322" s="179"/>
      <c r="AF322" s="179"/>
      <c r="AG322" s="179"/>
      <c r="AH322" s="179"/>
      <c r="AI322" s="179"/>
      <c r="AJ322" s="179"/>
      <c r="AK322" s="179"/>
      <c r="AL322" s="179"/>
      <c r="AM322" s="179"/>
      <c r="AN322" s="179"/>
      <c r="AO322" s="179"/>
      <c r="AP322" s="179"/>
      <c r="AQ322" s="179"/>
      <c r="AR322" s="179"/>
      <c r="AS322" s="179"/>
      <c r="AT322" s="179"/>
      <c r="AU322" s="179"/>
      <c r="AV322" s="179"/>
      <c r="AW322" s="179"/>
      <c r="AX322" s="179"/>
      <c r="AY322" s="179"/>
      <c r="AZ322" s="179"/>
      <c r="BA322" s="179"/>
      <c r="BB322" s="179"/>
      <c r="BC322" s="179"/>
      <c r="BD322" s="179"/>
      <c r="BE322" s="179"/>
      <c r="BF322" s="179"/>
      <c r="BG322" s="179"/>
      <c r="BH322" s="179"/>
      <c r="BI322" s="179"/>
      <c r="BJ322" s="179"/>
      <c r="BK322" s="179"/>
      <c r="BL322" s="179"/>
      <c r="BM322" s="179"/>
      <c r="BN322" s="179"/>
      <c r="BO322" s="179"/>
      <c r="BP322" s="179"/>
      <c r="BQ322" s="179"/>
      <c r="BR322" s="179"/>
      <c r="BS322" s="179"/>
      <c r="BT322" s="179"/>
      <c r="BU322" s="179"/>
      <c r="BV322" s="179"/>
      <c r="BW322" s="179"/>
      <c r="BX322" s="179"/>
      <c r="BY322" s="179"/>
      <c r="BZ322" s="179"/>
      <c r="CA322" s="179"/>
      <c r="CB322" s="179"/>
      <c r="CC322" s="179"/>
      <c r="CD322" s="179"/>
      <c r="CE322" s="179"/>
      <c r="CF322" s="179"/>
      <c r="CG322" s="179"/>
      <c r="CH322" s="179"/>
      <c r="CI322" s="179"/>
      <c r="CJ322" s="179"/>
      <c r="CK322" s="179"/>
      <c r="CL322" s="179"/>
      <c r="CM322" s="179"/>
      <c r="CN322" s="179"/>
      <c r="CO322" s="179"/>
      <c r="CP322" s="179"/>
      <c r="CQ322" s="179"/>
      <c r="CR322" s="179"/>
      <c r="CS322" s="179"/>
      <c r="CT322" s="179"/>
      <c r="CU322" s="179"/>
      <c r="CV322" s="179"/>
      <c r="CW322" s="179"/>
      <c r="CX322" s="179"/>
      <c r="CY322" s="179"/>
      <c r="CZ322" s="179"/>
      <c r="DA322" s="179"/>
      <c r="DB322" s="179"/>
      <c r="DC322" s="179"/>
      <c r="DD322" s="179"/>
      <c r="DE322" s="179"/>
      <c r="DF322" s="179"/>
      <c r="DG322" s="179"/>
      <c r="DH322" s="179"/>
      <c r="DI322" s="179"/>
      <c r="DJ322" s="179"/>
      <c r="DK322" s="179"/>
      <c r="DL322" s="179"/>
      <c r="DM322" s="179"/>
      <c r="DN322" s="179"/>
      <c r="DO322" s="179"/>
      <c r="DP322" s="179"/>
      <c r="DQ322" s="179"/>
      <c r="DR322" s="179"/>
      <c r="DS322" s="179"/>
      <c r="DT322" s="179"/>
      <c r="DU322" s="179"/>
      <c r="DV322" s="179"/>
      <c r="DW322" s="179"/>
      <c r="DX322" s="179"/>
      <c r="DY322" s="179"/>
      <c r="DZ322" s="179"/>
      <c r="EA322" s="179"/>
      <c r="EB322" s="179"/>
      <c r="EC322" s="179"/>
      <c r="ED322" s="179"/>
      <c r="EE322" s="179"/>
      <c r="EF322" s="179"/>
      <c r="EG322" s="179"/>
      <c r="EH322" s="179"/>
      <c r="EI322" s="179"/>
      <c r="EJ322" s="179"/>
      <c r="EK322" s="179"/>
      <c r="EL322" s="179"/>
      <c r="EM322" s="179"/>
      <c r="EN322" s="179"/>
      <c r="EO322" s="179"/>
      <c r="EP322" s="179"/>
      <c r="EQ322" s="179"/>
      <c r="ER322" s="179"/>
      <c r="ES322" s="179"/>
      <c r="ET322" s="179"/>
      <c r="EU322" s="179"/>
      <c r="EV322" s="179"/>
      <c r="EW322" s="179"/>
      <c r="EX322" s="179"/>
      <c r="EY322" s="179"/>
      <c r="EZ322" s="179"/>
      <c r="FA322" s="179"/>
      <c r="FB322" s="179"/>
      <c r="FC322" s="179"/>
      <c r="FD322" s="179"/>
      <c r="FE322" s="179"/>
      <c r="FF322" s="179"/>
      <c r="FG322" s="179"/>
      <c r="FH322" s="179"/>
      <c r="FI322" s="179"/>
      <c r="FJ322" s="179"/>
      <c r="FK322" s="179"/>
      <c r="FL322" s="179"/>
      <c r="FM322" s="179"/>
      <c r="FN322" s="179"/>
      <c r="FO322" s="179"/>
      <c r="FP322" s="179"/>
      <c r="FQ322" s="179"/>
      <c r="FR322" s="179"/>
      <c r="FS322" s="179"/>
      <c r="FT322" s="179"/>
      <c r="FU322" s="179"/>
      <c r="FV322" s="179"/>
      <c r="FW322" s="179"/>
      <c r="FX322" s="179"/>
      <c r="FY322" s="179"/>
      <c r="FZ322" s="179"/>
      <c r="GA322" s="179"/>
      <c r="GB322" s="179"/>
      <c r="GC322" s="179"/>
      <c r="GD322" s="179"/>
      <c r="GE322" s="179"/>
      <c r="GF322" s="179"/>
      <c r="GG322" s="179"/>
      <c r="GH322" s="179"/>
      <c r="GI322" s="179"/>
      <c r="GJ322" s="179"/>
      <c r="GK322" s="179"/>
      <c r="GL322" s="179"/>
      <c r="GM322" s="179"/>
      <c r="GN322" s="179"/>
      <c r="GO322" s="179"/>
      <c r="GP322" s="179"/>
      <c r="GQ322" s="179"/>
      <c r="GR322" s="179"/>
      <c r="GS322" s="179"/>
      <c r="GT322" s="179"/>
      <c r="GU322" s="179"/>
      <c r="GV322" s="179"/>
      <c r="GW322" s="179"/>
      <c r="GX322" s="179"/>
      <c r="GY322" s="179"/>
      <c r="GZ322" s="179"/>
      <c r="HA322" s="179"/>
      <c r="HB322" s="179"/>
      <c r="HC322" s="179"/>
      <c r="HD322" s="179"/>
      <c r="HE322" s="179"/>
      <c r="HF322" s="179"/>
      <c r="HG322" s="179"/>
      <c r="HH322" s="179"/>
      <c r="HI322" s="179"/>
      <c r="HJ322" s="179"/>
      <c r="HK322" s="179"/>
      <c r="HL322" s="179"/>
      <c r="HM322" s="179"/>
      <c r="HN322" s="179"/>
      <c r="HO322" s="179"/>
      <c r="HP322" s="179"/>
      <c r="HQ322" s="179"/>
      <c r="HR322" s="179"/>
      <c r="HS322" s="179"/>
      <c r="HT322" s="179"/>
      <c r="HU322" s="179"/>
      <c r="HV322" s="179"/>
      <c r="HW322" s="179"/>
      <c r="HX322" s="179"/>
      <c r="HY322" s="179"/>
      <c r="HZ322" s="179"/>
      <c r="IA322" s="179"/>
      <c r="IB322" s="179"/>
      <c r="IC322" s="179"/>
      <c r="ID322" s="179"/>
      <c r="IE322" s="179"/>
      <c r="IF322" s="179"/>
      <c r="IG322" s="179"/>
      <c r="IH322" s="179"/>
      <c r="II322" s="179"/>
      <c r="IJ322" s="179"/>
      <c r="IK322" s="179"/>
      <c r="IL322" s="179"/>
      <c r="IM322" s="179"/>
      <c r="IN322" s="179"/>
      <c r="IO322" s="179"/>
      <c r="IP322" s="179"/>
      <c r="IQ322" s="179"/>
    </row>
    <row r="323" spans="1:251" ht="29.25" customHeight="1">
      <c r="A323" s="216" t="s">
        <v>2025</v>
      </c>
      <c r="B323" s="196">
        <f>B321</f>
        <v>1159533.7399999998</v>
      </c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  <c r="AA323" s="179"/>
      <c r="AB323" s="179"/>
      <c r="AC323" s="179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  <c r="AP323" s="179"/>
      <c r="AQ323" s="179"/>
      <c r="AR323" s="179"/>
      <c r="AS323" s="179"/>
      <c r="AT323" s="179"/>
      <c r="AU323" s="179"/>
      <c r="AV323" s="179"/>
      <c r="AW323" s="179"/>
      <c r="AX323" s="179"/>
      <c r="AY323" s="179"/>
      <c r="AZ323" s="179"/>
      <c r="BA323" s="179"/>
      <c r="BB323" s="179"/>
      <c r="BC323" s="179"/>
      <c r="BD323" s="179"/>
      <c r="BE323" s="179"/>
      <c r="BF323" s="179"/>
      <c r="BG323" s="179"/>
      <c r="BH323" s="179"/>
      <c r="BI323" s="179"/>
      <c r="BJ323" s="179"/>
      <c r="BK323" s="179"/>
      <c r="BL323" s="179"/>
      <c r="BM323" s="179"/>
      <c r="BN323" s="179"/>
      <c r="BO323" s="179"/>
      <c r="BP323" s="179"/>
      <c r="BQ323" s="179"/>
      <c r="BR323" s="179"/>
      <c r="BS323" s="179"/>
      <c r="BT323" s="179"/>
      <c r="BU323" s="179"/>
      <c r="BV323" s="179"/>
      <c r="BW323" s="179"/>
      <c r="BX323" s="179"/>
      <c r="BY323" s="179"/>
      <c r="BZ323" s="179"/>
      <c r="CA323" s="179"/>
      <c r="CB323" s="179"/>
      <c r="CC323" s="179"/>
      <c r="CD323" s="179"/>
      <c r="CE323" s="179"/>
      <c r="CF323" s="179"/>
      <c r="CG323" s="179"/>
      <c r="CH323" s="179"/>
      <c r="CI323" s="179"/>
      <c r="CJ323" s="179"/>
      <c r="CK323" s="179"/>
      <c r="CL323" s="179"/>
      <c r="CM323" s="179"/>
      <c r="CN323" s="179"/>
      <c r="CO323" s="179"/>
      <c r="CP323" s="179"/>
      <c r="CQ323" s="179"/>
      <c r="CR323" s="179"/>
      <c r="CS323" s="179"/>
      <c r="CT323" s="179"/>
      <c r="CU323" s="179"/>
      <c r="CV323" s="179"/>
      <c r="CW323" s="179"/>
      <c r="CX323" s="179"/>
      <c r="CY323" s="179"/>
      <c r="CZ323" s="179"/>
      <c r="DA323" s="179"/>
      <c r="DB323" s="179"/>
      <c r="DC323" s="179"/>
      <c r="DD323" s="179"/>
      <c r="DE323" s="179"/>
      <c r="DF323" s="179"/>
      <c r="DG323" s="179"/>
      <c r="DH323" s="179"/>
      <c r="DI323" s="179"/>
      <c r="DJ323" s="179"/>
      <c r="DK323" s="179"/>
      <c r="DL323" s="179"/>
      <c r="DM323" s="179"/>
      <c r="DN323" s="179"/>
      <c r="DO323" s="179"/>
      <c r="DP323" s="179"/>
      <c r="DQ323" s="179"/>
      <c r="DR323" s="179"/>
      <c r="DS323" s="179"/>
      <c r="DT323" s="179"/>
      <c r="DU323" s="179"/>
      <c r="DV323" s="179"/>
      <c r="DW323" s="179"/>
      <c r="DX323" s="179"/>
      <c r="DY323" s="179"/>
      <c r="DZ323" s="179"/>
      <c r="EA323" s="179"/>
      <c r="EB323" s="179"/>
      <c r="EC323" s="179"/>
      <c r="ED323" s="179"/>
      <c r="EE323" s="179"/>
      <c r="EF323" s="179"/>
      <c r="EG323" s="179"/>
      <c r="EH323" s="179"/>
      <c r="EI323" s="179"/>
      <c r="EJ323" s="179"/>
      <c r="EK323" s="179"/>
      <c r="EL323" s="179"/>
      <c r="EM323" s="179"/>
      <c r="EN323" s="179"/>
      <c r="EO323" s="179"/>
      <c r="EP323" s="179"/>
      <c r="EQ323" s="179"/>
      <c r="ER323" s="179"/>
      <c r="ES323" s="179"/>
      <c r="ET323" s="179"/>
      <c r="EU323" s="179"/>
      <c r="EV323" s="179"/>
      <c r="EW323" s="179"/>
      <c r="EX323" s="179"/>
      <c r="EY323" s="179"/>
      <c r="EZ323" s="179"/>
      <c r="FA323" s="179"/>
      <c r="FB323" s="179"/>
      <c r="FC323" s="179"/>
      <c r="FD323" s="179"/>
      <c r="FE323" s="179"/>
      <c r="FF323" s="179"/>
      <c r="FG323" s="179"/>
      <c r="FH323" s="179"/>
      <c r="FI323" s="179"/>
      <c r="FJ323" s="179"/>
      <c r="FK323" s="179"/>
      <c r="FL323" s="179"/>
      <c r="FM323" s="179"/>
      <c r="FN323" s="179"/>
      <c r="FO323" s="179"/>
      <c r="FP323" s="179"/>
      <c r="FQ323" s="179"/>
      <c r="FR323" s="179"/>
      <c r="FS323" s="179"/>
      <c r="FT323" s="179"/>
      <c r="FU323" s="179"/>
      <c r="FV323" s="179"/>
      <c r="FW323" s="179"/>
      <c r="FX323" s="179"/>
      <c r="FY323" s="179"/>
      <c r="FZ323" s="179"/>
      <c r="GA323" s="179"/>
      <c r="GB323" s="179"/>
      <c r="GC323" s="179"/>
      <c r="GD323" s="179"/>
      <c r="GE323" s="179"/>
      <c r="GF323" s="179"/>
      <c r="GG323" s="179"/>
      <c r="GH323" s="179"/>
      <c r="GI323" s="179"/>
      <c r="GJ323" s="179"/>
      <c r="GK323" s="179"/>
      <c r="GL323" s="179"/>
      <c r="GM323" s="179"/>
      <c r="GN323" s="179"/>
      <c r="GO323" s="179"/>
      <c r="GP323" s="179"/>
      <c r="GQ323" s="179"/>
      <c r="GR323" s="179"/>
      <c r="GS323" s="179"/>
      <c r="GT323" s="179"/>
      <c r="GU323" s="179"/>
      <c r="GV323" s="179"/>
      <c r="GW323" s="179"/>
      <c r="GX323" s="179"/>
      <c r="GY323" s="179"/>
      <c r="GZ323" s="179"/>
      <c r="HA323" s="179"/>
      <c r="HB323" s="179"/>
      <c r="HC323" s="179"/>
      <c r="HD323" s="179"/>
      <c r="HE323" s="179"/>
      <c r="HF323" s="179"/>
      <c r="HG323" s="179"/>
      <c r="HH323" s="179"/>
      <c r="HI323" s="179"/>
      <c r="HJ323" s="179"/>
      <c r="HK323" s="179"/>
      <c r="HL323" s="179"/>
      <c r="HM323" s="179"/>
      <c r="HN323" s="179"/>
      <c r="HO323" s="179"/>
      <c r="HP323" s="179"/>
      <c r="HQ323" s="179"/>
      <c r="HR323" s="179"/>
      <c r="HS323" s="179"/>
      <c r="HT323" s="179"/>
      <c r="HU323" s="179"/>
      <c r="HV323" s="179"/>
      <c r="HW323" s="179"/>
      <c r="HX323" s="179"/>
      <c r="HY323" s="179"/>
      <c r="HZ323" s="179"/>
      <c r="IA323" s="179"/>
      <c r="IB323" s="179"/>
      <c r="IC323" s="179"/>
      <c r="ID323" s="179"/>
      <c r="IE323" s="179"/>
      <c r="IF323" s="179"/>
      <c r="IG323" s="179"/>
      <c r="IH323" s="179"/>
      <c r="II323" s="179"/>
      <c r="IJ323" s="179"/>
      <c r="IK323" s="179"/>
      <c r="IL323" s="179"/>
      <c r="IM323" s="179"/>
      <c r="IN323" s="179"/>
      <c r="IO323" s="179"/>
      <c r="IP323" s="179"/>
      <c r="IQ323" s="179"/>
    </row>
    <row r="324" spans="1:251">
      <c r="A324" s="179"/>
      <c r="B324" s="213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179"/>
      <c r="W324" s="179"/>
      <c r="X324" s="179"/>
      <c r="Y324" s="179"/>
      <c r="Z324" s="179"/>
      <c r="AA324" s="179"/>
      <c r="AB324" s="179"/>
      <c r="AC324" s="179"/>
      <c r="AD324" s="179"/>
      <c r="AE324" s="179"/>
      <c r="AF324" s="179"/>
      <c r="AG324" s="179"/>
      <c r="AH324" s="179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79"/>
      <c r="AV324" s="179"/>
      <c r="AW324" s="179"/>
      <c r="AX324" s="179"/>
      <c r="AY324" s="179"/>
      <c r="AZ324" s="179"/>
      <c r="BA324" s="179"/>
      <c r="BB324" s="179"/>
      <c r="BC324" s="179"/>
      <c r="BD324" s="179"/>
      <c r="BE324" s="179"/>
      <c r="BF324" s="179"/>
      <c r="BG324" s="179"/>
      <c r="BH324" s="179"/>
      <c r="BI324" s="179"/>
      <c r="BJ324" s="179"/>
      <c r="BK324" s="179"/>
      <c r="BL324" s="179"/>
      <c r="BM324" s="179"/>
      <c r="BN324" s="179"/>
      <c r="BO324" s="179"/>
      <c r="BP324" s="179"/>
      <c r="BQ324" s="179"/>
      <c r="BR324" s="179"/>
      <c r="BS324" s="179"/>
      <c r="BT324" s="179"/>
      <c r="BU324" s="179"/>
      <c r="BV324" s="179"/>
      <c r="BW324" s="179"/>
      <c r="BX324" s="179"/>
      <c r="BY324" s="179"/>
      <c r="BZ324" s="179"/>
      <c r="CA324" s="179"/>
      <c r="CB324" s="179"/>
      <c r="CC324" s="179"/>
      <c r="CD324" s="179"/>
      <c r="CE324" s="179"/>
      <c r="CF324" s="179"/>
      <c r="CG324" s="179"/>
      <c r="CH324" s="179"/>
      <c r="CI324" s="179"/>
      <c r="CJ324" s="179"/>
      <c r="CK324" s="179"/>
      <c r="CL324" s="179"/>
      <c r="CM324" s="179"/>
      <c r="CN324" s="179"/>
      <c r="CO324" s="179"/>
      <c r="CP324" s="179"/>
      <c r="CQ324" s="179"/>
      <c r="CR324" s="179"/>
      <c r="CS324" s="179"/>
      <c r="CT324" s="179"/>
      <c r="CU324" s="179"/>
      <c r="CV324" s="179"/>
      <c r="CW324" s="179"/>
      <c r="CX324" s="179"/>
      <c r="CY324" s="179"/>
      <c r="CZ324" s="179"/>
      <c r="DA324" s="179"/>
      <c r="DB324" s="179"/>
      <c r="DC324" s="179"/>
      <c r="DD324" s="179"/>
      <c r="DE324" s="179"/>
      <c r="DF324" s="179"/>
      <c r="DG324" s="179"/>
      <c r="DH324" s="179"/>
      <c r="DI324" s="179"/>
      <c r="DJ324" s="179"/>
      <c r="DK324" s="179"/>
      <c r="DL324" s="179"/>
      <c r="DM324" s="179"/>
      <c r="DN324" s="179"/>
      <c r="DO324" s="179"/>
      <c r="DP324" s="179"/>
      <c r="DQ324" s="179"/>
      <c r="DR324" s="179"/>
      <c r="DS324" s="179"/>
      <c r="DT324" s="179"/>
      <c r="DU324" s="179"/>
      <c r="DV324" s="179"/>
      <c r="DW324" s="179"/>
      <c r="DX324" s="179"/>
      <c r="DY324" s="179"/>
      <c r="DZ324" s="179"/>
      <c r="EA324" s="179"/>
      <c r="EB324" s="179"/>
      <c r="EC324" s="179"/>
      <c r="ED324" s="179"/>
      <c r="EE324" s="179"/>
      <c r="EF324" s="179"/>
      <c r="EG324" s="179"/>
      <c r="EH324" s="179"/>
      <c r="EI324" s="179"/>
      <c r="EJ324" s="179"/>
      <c r="EK324" s="179"/>
      <c r="EL324" s="179"/>
      <c r="EM324" s="179"/>
      <c r="EN324" s="179"/>
      <c r="EO324" s="179"/>
      <c r="EP324" s="179"/>
      <c r="EQ324" s="179"/>
      <c r="ER324" s="179"/>
      <c r="ES324" s="179"/>
      <c r="ET324" s="179"/>
      <c r="EU324" s="179"/>
      <c r="EV324" s="179"/>
      <c r="EW324" s="179"/>
      <c r="EX324" s="179"/>
      <c r="EY324" s="179"/>
      <c r="EZ324" s="179"/>
      <c r="FA324" s="179"/>
      <c r="FB324" s="179"/>
      <c r="FC324" s="179"/>
      <c r="FD324" s="179"/>
      <c r="FE324" s="179"/>
      <c r="FF324" s="179"/>
      <c r="FG324" s="179"/>
      <c r="FH324" s="179"/>
      <c r="FI324" s="179"/>
      <c r="FJ324" s="179"/>
      <c r="FK324" s="179"/>
      <c r="FL324" s="179"/>
      <c r="FM324" s="179"/>
      <c r="FN324" s="179"/>
      <c r="FO324" s="179"/>
      <c r="FP324" s="179"/>
      <c r="FQ324" s="179"/>
      <c r="FR324" s="179"/>
      <c r="FS324" s="179"/>
      <c r="FT324" s="179"/>
      <c r="FU324" s="179"/>
      <c r="FV324" s="179"/>
      <c r="FW324" s="179"/>
      <c r="FX324" s="179"/>
      <c r="FY324" s="179"/>
      <c r="FZ324" s="179"/>
      <c r="GA324" s="179"/>
      <c r="GB324" s="179"/>
      <c r="GC324" s="179"/>
      <c r="GD324" s="179"/>
      <c r="GE324" s="179"/>
      <c r="GF324" s="179"/>
      <c r="GG324" s="179"/>
      <c r="GH324" s="179"/>
      <c r="GI324" s="179"/>
      <c r="GJ324" s="179"/>
      <c r="GK324" s="179"/>
      <c r="GL324" s="179"/>
      <c r="GM324" s="179"/>
      <c r="GN324" s="179"/>
      <c r="GO324" s="179"/>
      <c r="GP324" s="179"/>
      <c r="GQ324" s="179"/>
      <c r="GR324" s="179"/>
      <c r="GS324" s="179"/>
      <c r="GT324" s="179"/>
      <c r="GU324" s="179"/>
      <c r="GV324" s="179"/>
      <c r="GW324" s="179"/>
      <c r="GX324" s="179"/>
      <c r="GY324" s="179"/>
      <c r="GZ324" s="179"/>
      <c r="HA324" s="179"/>
      <c r="HB324" s="179"/>
      <c r="HC324" s="179"/>
      <c r="HD324" s="179"/>
      <c r="HE324" s="179"/>
      <c r="HF324" s="179"/>
      <c r="HG324" s="179"/>
      <c r="HH324" s="179"/>
      <c r="HI324" s="179"/>
      <c r="HJ324" s="179"/>
      <c r="HK324" s="179"/>
      <c r="HL324" s="179"/>
      <c r="HM324" s="179"/>
      <c r="HN324" s="179"/>
      <c r="HO324" s="179"/>
      <c r="HP324" s="179"/>
      <c r="HQ324" s="179"/>
      <c r="HR324" s="179"/>
      <c r="HS324" s="179"/>
      <c r="HT324" s="179"/>
      <c r="HU324" s="179"/>
      <c r="HV324" s="179"/>
      <c r="HW324" s="179"/>
      <c r="HX324" s="179"/>
      <c r="HY324" s="179"/>
      <c r="HZ324" s="179"/>
      <c r="IA324" s="179"/>
      <c r="IB324" s="179"/>
      <c r="IC324" s="179"/>
      <c r="ID324" s="179"/>
      <c r="IE324" s="179"/>
      <c r="IF324" s="179"/>
      <c r="IG324" s="179"/>
      <c r="IH324" s="179"/>
      <c r="II324" s="179"/>
      <c r="IJ324" s="179"/>
      <c r="IK324" s="179"/>
      <c r="IL324" s="179"/>
      <c r="IM324" s="179"/>
      <c r="IN324" s="179"/>
      <c r="IO324" s="179"/>
      <c r="IP324" s="179"/>
      <c r="IQ324" s="179"/>
    </row>
    <row r="325" spans="1:251">
      <c r="A325" s="324" t="s">
        <v>1600</v>
      </c>
      <c r="B325" s="198">
        <f>B327+B329+B330+B331+B333+B335+B334+B328</f>
        <v>1292623.4555412631</v>
      </c>
      <c r="C325" s="179"/>
      <c r="D325" s="17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179"/>
      <c r="W325" s="179"/>
      <c r="X325" s="179"/>
      <c r="Y325" s="179"/>
      <c r="Z325" s="179"/>
      <c r="AA325" s="179"/>
      <c r="AB325" s="179"/>
      <c r="AC325" s="179"/>
      <c r="AD325" s="179"/>
      <c r="AE325" s="179"/>
      <c r="AF325" s="179"/>
      <c r="AG325" s="179"/>
      <c r="AH325" s="179"/>
      <c r="AI325" s="179"/>
      <c r="AJ325" s="179"/>
      <c r="AK325" s="179"/>
      <c r="AL325" s="179"/>
      <c r="AM325" s="179"/>
      <c r="AN325" s="179"/>
      <c r="AO325" s="179"/>
      <c r="AP325" s="179"/>
      <c r="AQ325" s="179"/>
      <c r="AR325" s="179"/>
      <c r="AS325" s="179"/>
      <c r="AT325" s="179"/>
      <c r="AU325" s="179"/>
      <c r="AV325" s="179"/>
      <c r="AW325" s="179"/>
      <c r="AX325" s="179"/>
      <c r="AY325" s="179"/>
      <c r="AZ325" s="179"/>
      <c r="BA325" s="179"/>
      <c r="BB325" s="179"/>
      <c r="BC325" s="179"/>
      <c r="BD325" s="179"/>
      <c r="BE325" s="179"/>
      <c r="BF325" s="179"/>
      <c r="BG325" s="179"/>
      <c r="BH325" s="179"/>
      <c r="BI325" s="179"/>
      <c r="BJ325" s="179"/>
      <c r="BK325" s="179"/>
      <c r="BL325" s="179"/>
      <c r="BM325" s="179"/>
      <c r="BN325" s="179"/>
      <c r="BO325" s="179"/>
      <c r="BP325" s="179"/>
      <c r="BQ325" s="179"/>
      <c r="BR325" s="179"/>
      <c r="BS325" s="179"/>
      <c r="BT325" s="179"/>
      <c r="BU325" s="179"/>
      <c r="BV325" s="179"/>
      <c r="BW325" s="179"/>
      <c r="BX325" s="179"/>
      <c r="BY325" s="179"/>
      <c r="BZ325" s="179"/>
      <c r="CA325" s="179"/>
      <c r="CB325" s="179"/>
      <c r="CC325" s="179"/>
      <c r="CD325" s="179"/>
      <c r="CE325" s="179"/>
      <c r="CF325" s="179"/>
      <c r="CG325" s="179"/>
      <c r="CH325" s="179"/>
      <c r="CI325" s="179"/>
      <c r="CJ325" s="179"/>
      <c r="CK325" s="179"/>
      <c r="CL325" s="179"/>
      <c r="CM325" s="179"/>
      <c r="CN325" s="179"/>
      <c r="CO325" s="179"/>
      <c r="CP325" s="179"/>
      <c r="CQ325" s="179"/>
      <c r="CR325" s="179"/>
      <c r="CS325" s="179"/>
      <c r="CT325" s="179"/>
      <c r="CU325" s="179"/>
      <c r="CV325" s="179"/>
      <c r="CW325" s="179"/>
      <c r="CX325" s="179"/>
      <c r="CY325" s="179"/>
      <c r="CZ325" s="179"/>
      <c r="DA325" s="179"/>
      <c r="DB325" s="179"/>
      <c r="DC325" s="179"/>
      <c r="DD325" s="179"/>
      <c r="DE325" s="179"/>
      <c r="DF325" s="179"/>
      <c r="DG325" s="179"/>
      <c r="DH325" s="179"/>
      <c r="DI325" s="179"/>
      <c r="DJ325" s="179"/>
      <c r="DK325" s="179"/>
      <c r="DL325" s="179"/>
      <c r="DM325" s="179"/>
      <c r="DN325" s="179"/>
      <c r="DO325" s="179"/>
      <c r="DP325" s="179"/>
      <c r="DQ325" s="179"/>
      <c r="DR325" s="179"/>
      <c r="DS325" s="179"/>
      <c r="DT325" s="179"/>
      <c r="DU325" s="179"/>
      <c r="DV325" s="179"/>
      <c r="DW325" s="179"/>
      <c r="DX325" s="179"/>
      <c r="DY325" s="179"/>
      <c r="DZ325" s="179"/>
      <c r="EA325" s="179"/>
      <c r="EB325" s="179"/>
      <c r="EC325" s="179"/>
      <c r="ED325" s="179"/>
      <c r="EE325" s="179"/>
      <c r="EF325" s="179"/>
      <c r="EG325" s="179"/>
      <c r="EH325" s="179"/>
      <c r="EI325" s="179"/>
      <c r="EJ325" s="179"/>
      <c r="EK325" s="179"/>
      <c r="EL325" s="179"/>
      <c r="EM325" s="179"/>
      <c r="EN325" s="179"/>
      <c r="EO325" s="179"/>
      <c r="EP325" s="179"/>
      <c r="EQ325" s="179"/>
      <c r="ER325" s="179"/>
      <c r="ES325" s="179"/>
      <c r="ET325" s="179"/>
      <c r="EU325" s="179"/>
      <c r="EV325" s="179"/>
      <c r="EW325" s="179"/>
      <c r="EX325" s="179"/>
      <c r="EY325" s="179"/>
      <c r="EZ325" s="179"/>
      <c r="FA325" s="179"/>
      <c r="FB325" s="179"/>
      <c r="FC325" s="179"/>
      <c r="FD325" s="179"/>
      <c r="FE325" s="179"/>
      <c r="FF325" s="179"/>
      <c r="FG325" s="179"/>
      <c r="FH325" s="179"/>
      <c r="FI325" s="179"/>
      <c r="FJ325" s="179"/>
      <c r="FK325" s="179"/>
      <c r="FL325" s="179"/>
      <c r="FM325" s="179"/>
      <c r="FN325" s="179"/>
      <c r="FO325" s="179"/>
      <c r="FP325" s="179"/>
      <c r="FQ325" s="179"/>
      <c r="FR325" s="179"/>
      <c r="FS325" s="179"/>
      <c r="FT325" s="179"/>
      <c r="FU325" s="179"/>
      <c r="FV325" s="179"/>
      <c r="FW325" s="179"/>
      <c r="FX325" s="179"/>
      <c r="FY325" s="179"/>
      <c r="FZ325" s="179"/>
      <c r="GA325" s="179"/>
      <c r="GB325" s="179"/>
      <c r="GC325" s="179"/>
      <c r="GD325" s="179"/>
      <c r="GE325" s="179"/>
      <c r="GF325" s="179"/>
      <c r="GG325" s="179"/>
      <c r="GH325" s="179"/>
      <c r="GI325" s="179"/>
      <c r="GJ325" s="179"/>
      <c r="GK325" s="179"/>
      <c r="GL325" s="179"/>
      <c r="GM325" s="179"/>
      <c r="GN325" s="179"/>
      <c r="GO325" s="179"/>
      <c r="GP325" s="179"/>
      <c r="GQ325" s="179"/>
      <c r="GR325" s="179"/>
      <c r="GS325" s="179"/>
      <c r="GT325" s="179"/>
      <c r="GU325" s="179"/>
      <c r="GV325" s="179"/>
      <c r="GW325" s="179"/>
      <c r="GX325" s="179"/>
      <c r="GY325" s="179"/>
      <c r="GZ325" s="179"/>
      <c r="HA325" s="179"/>
      <c r="HB325" s="179"/>
      <c r="HC325" s="179"/>
      <c r="HD325" s="179"/>
      <c r="HE325" s="179"/>
      <c r="HF325" s="179"/>
      <c r="HG325" s="179"/>
      <c r="HH325" s="179"/>
      <c r="HI325" s="179"/>
      <c r="HJ325" s="179"/>
      <c r="HK325" s="179"/>
      <c r="HL325" s="179"/>
      <c r="HM325" s="179"/>
      <c r="HN325" s="179"/>
      <c r="HO325" s="179"/>
      <c r="HP325" s="179"/>
      <c r="HQ325" s="179"/>
      <c r="HR325" s="179"/>
      <c r="HS325" s="179"/>
      <c r="HT325" s="179"/>
      <c r="HU325" s="179"/>
      <c r="HV325" s="179"/>
      <c r="HW325" s="179"/>
      <c r="HX325" s="179"/>
      <c r="HY325" s="179"/>
      <c r="HZ325" s="179"/>
      <c r="IA325" s="179"/>
      <c r="IB325" s="179"/>
      <c r="IC325" s="179"/>
      <c r="ID325" s="179"/>
      <c r="IE325" s="179"/>
      <c r="IF325" s="179"/>
      <c r="IG325" s="179"/>
      <c r="IH325" s="179"/>
      <c r="II325" s="179"/>
      <c r="IJ325" s="179"/>
      <c r="IK325" s="179"/>
      <c r="IL325" s="179"/>
      <c r="IM325" s="179"/>
      <c r="IN325" s="179"/>
      <c r="IO325" s="179"/>
      <c r="IP325" s="179"/>
      <c r="IQ325" s="179"/>
    </row>
    <row r="326" spans="1:251">
      <c r="A326" s="325" t="s">
        <v>599</v>
      </c>
      <c r="B326" s="193"/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  <c r="AA326" s="179"/>
      <c r="AB326" s="179"/>
      <c r="AC326" s="179"/>
      <c r="AD326" s="179"/>
      <c r="AE326" s="179"/>
      <c r="AF326" s="179"/>
      <c r="AG326" s="179"/>
      <c r="AH326" s="179"/>
      <c r="AI326" s="179"/>
      <c r="AJ326" s="179"/>
      <c r="AK326" s="179"/>
      <c r="AL326" s="179"/>
      <c r="AM326" s="179"/>
      <c r="AN326" s="179"/>
      <c r="AO326" s="179"/>
      <c r="AP326" s="179"/>
      <c r="AQ326" s="179"/>
      <c r="AR326" s="179"/>
      <c r="AS326" s="179"/>
      <c r="AT326" s="179"/>
      <c r="AU326" s="179"/>
      <c r="AV326" s="179"/>
      <c r="AW326" s="179"/>
      <c r="AX326" s="179"/>
      <c r="AY326" s="179"/>
      <c r="AZ326" s="179"/>
      <c r="BA326" s="179"/>
      <c r="BB326" s="179"/>
      <c r="BC326" s="179"/>
      <c r="BD326" s="179"/>
      <c r="BE326" s="179"/>
      <c r="BF326" s="179"/>
      <c r="BG326" s="179"/>
      <c r="BH326" s="179"/>
      <c r="BI326" s="179"/>
      <c r="BJ326" s="179"/>
      <c r="BK326" s="179"/>
      <c r="BL326" s="179"/>
      <c r="BM326" s="179"/>
      <c r="BN326" s="179"/>
      <c r="BO326" s="179"/>
      <c r="BP326" s="179"/>
      <c r="BQ326" s="179"/>
      <c r="BR326" s="179"/>
      <c r="BS326" s="179"/>
      <c r="BT326" s="179"/>
      <c r="BU326" s="179"/>
      <c r="BV326" s="179"/>
      <c r="BW326" s="179"/>
      <c r="BX326" s="179"/>
      <c r="BY326" s="179"/>
      <c r="BZ326" s="179"/>
      <c r="CA326" s="179"/>
      <c r="CB326" s="179"/>
      <c r="CC326" s="179"/>
      <c r="CD326" s="179"/>
      <c r="CE326" s="179"/>
      <c r="CF326" s="179"/>
      <c r="CG326" s="179"/>
      <c r="CH326" s="179"/>
      <c r="CI326" s="179"/>
      <c r="CJ326" s="179"/>
      <c r="CK326" s="179"/>
      <c r="CL326" s="179"/>
      <c r="CM326" s="179"/>
      <c r="CN326" s="179"/>
      <c r="CO326" s="179"/>
      <c r="CP326" s="179"/>
      <c r="CQ326" s="179"/>
      <c r="CR326" s="179"/>
      <c r="CS326" s="179"/>
      <c r="CT326" s="179"/>
      <c r="CU326" s="179"/>
      <c r="CV326" s="179"/>
      <c r="CW326" s="179"/>
      <c r="CX326" s="179"/>
      <c r="CY326" s="179"/>
      <c r="CZ326" s="179"/>
      <c r="DA326" s="179"/>
      <c r="DB326" s="179"/>
      <c r="DC326" s="179"/>
      <c r="DD326" s="179"/>
      <c r="DE326" s="179"/>
      <c r="DF326" s="179"/>
      <c r="DG326" s="179"/>
      <c r="DH326" s="179"/>
      <c r="DI326" s="179"/>
      <c r="DJ326" s="179"/>
      <c r="DK326" s="179"/>
      <c r="DL326" s="179"/>
      <c r="DM326" s="179"/>
      <c r="DN326" s="179"/>
      <c r="DO326" s="179"/>
      <c r="DP326" s="179"/>
      <c r="DQ326" s="179"/>
      <c r="DR326" s="179"/>
      <c r="DS326" s="179"/>
      <c r="DT326" s="179"/>
      <c r="DU326" s="179"/>
      <c r="DV326" s="179"/>
      <c r="DW326" s="179"/>
      <c r="DX326" s="179"/>
      <c r="DY326" s="179"/>
      <c r="DZ326" s="179"/>
      <c r="EA326" s="179"/>
      <c r="EB326" s="179"/>
      <c r="EC326" s="179"/>
      <c r="ED326" s="179"/>
      <c r="EE326" s="179"/>
      <c r="EF326" s="179"/>
      <c r="EG326" s="179"/>
      <c r="EH326" s="179"/>
      <c r="EI326" s="179"/>
      <c r="EJ326" s="179"/>
      <c r="EK326" s="179"/>
      <c r="EL326" s="179"/>
      <c r="EM326" s="179"/>
      <c r="EN326" s="179"/>
      <c r="EO326" s="179"/>
      <c r="EP326" s="179"/>
      <c r="EQ326" s="179"/>
      <c r="ER326" s="179"/>
      <c r="ES326" s="179"/>
      <c r="ET326" s="179"/>
      <c r="EU326" s="179"/>
      <c r="EV326" s="179"/>
      <c r="EW326" s="179"/>
      <c r="EX326" s="179"/>
      <c r="EY326" s="179"/>
      <c r="EZ326" s="179"/>
      <c r="FA326" s="179"/>
      <c r="FB326" s="179"/>
      <c r="FC326" s="179"/>
      <c r="FD326" s="179"/>
      <c r="FE326" s="179"/>
      <c r="FF326" s="179"/>
      <c r="FG326" s="179"/>
      <c r="FH326" s="179"/>
      <c r="FI326" s="179"/>
      <c r="FJ326" s="179"/>
      <c r="FK326" s="179"/>
      <c r="FL326" s="179"/>
      <c r="FM326" s="179"/>
      <c r="FN326" s="179"/>
      <c r="FO326" s="179"/>
      <c r="FP326" s="179"/>
      <c r="FQ326" s="179"/>
      <c r="FR326" s="179"/>
      <c r="FS326" s="179"/>
      <c r="FT326" s="179"/>
      <c r="FU326" s="179"/>
      <c r="FV326" s="179"/>
      <c r="FW326" s="179"/>
      <c r="FX326" s="179"/>
      <c r="FY326" s="179"/>
      <c r="FZ326" s="179"/>
      <c r="GA326" s="179"/>
      <c r="GB326" s="179"/>
      <c r="GC326" s="179"/>
      <c r="GD326" s="179"/>
      <c r="GE326" s="179"/>
      <c r="GF326" s="179"/>
      <c r="GG326" s="179"/>
      <c r="GH326" s="179"/>
      <c r="GI326" s="179"/>
      <c r="GJ326" s="179"/>
      <c r="GK326" s="179"/>
      <c r="GL326" s="179"/>
      <c r="GM326" s="179"/>
      <c r="GN326" s="179"/>
      <c r="GO326" s="179"/>
      <c r="GP326" s="179"/>
      <c r="GQ326" s="179"/>
      <c r="GR326" s="179"/>
      <c r="GS326" s="179"/>
      <c r="GT326" s="179"/>
      <c r="GU326" s="179"/>
      <c r="GV326" s="179"/>
      <c r="GW326" s="179"/>
      <c r="GX326" s="179"/>
      <c r="GY326" s="179"/>
      <c r="GZ326" s="179"/>
      <c r="HA326" s="179"/>
      <c r="HB326" s="179"/>
      <c r="HC326" s="179"/>
      <c r="HD326" s="179"/>
      <c r="HE326" s="179"/>
      <c r="HF326" s="179"/>
      <c r="HG326" s="179"/>
      <c r="HH326" s="179"/>
      <c r="HI326" s="179"/>
      <c r="HJ326" s="179"/>
      <c r="HK326" s="179"/>
      <c r="HL326" s="179"/>
      <c r="HM326" s="179"/>
      <c r="HN326" s="179"/>
      <c r="HO326" s="179"/>
      <c r="HP326" s="179"/>
      <c r="HQ326" s="179"/>
      <c r="HR326" s="179"/>
      <c r="HS326" s="179"/>
      <c r="HT326" s="179"/>
      <c r="HU326" s="179"/>
      <c r="HV326" s="179"/>
      <c r="HW326" s="179"/>
      <c r="HX326" s="179"/>
      <c r="HY326" s="179"/>
      <c r="HZ326" s="179"/>
      <c r="IA326" s="179"/>
      <c r="IB326" s="179"/>
      <c r="IC326" s="179"/>
      <c r="ID326" s="179"/>
      <c r="IE326" s="179"/>
      <c r="IF326" s="179"/>
      <c r="IG326" s="179"/>
      <c r="IH326" s="179"/>
      <c r="II326" s="179"/>
      <c r="IJ326" s="179"/>
      <c r="IK326" s="179"/>
      <c r="IL326" s="179"/>
      <c r="IM326" s="179"/>
      <c r="IN326" s="179"/>
      <c r="IO326" s="179"/>
      <c r="IP326" s="179"/>
      <c r="IQ326" s="179"/>
    </row>
    <row r="327" spans="1:251" s="466" customFormat="1">
      <c r="A327" s="325" t="s">
        <v>521</v>
      </c>
      <c r="B327" s="194">
        <f>959300/45797.5*B316*1.13</f>
        <v>55344.283941263158</v>
      </c>
      <c r="C327" s="465"/>
      <c r="D327" s="465"/>
      <c r="E327" s="465"/>
      <c r="F327" s="465"/>
      <c r="G327" s="465"/>
      <c r="H327" s="465"/>
      <c r="I327" s="465"/>
      <c r="J327" s="465"/>
      <c r="K327" s="465"/>
      <c r="L327" s="465"/>
      <c r="M327" s="465"/>
      <c r="N327" s="465"/>
      <c r="O327" s="465"/>
      <c r="P327" s="465"/>
      <c r="Q327" s="465"/>
      <c r="R327" s="465"/>
      <c r="S327" s="465"/>
      <c r="T327" s="465"/>
      <c r="U327" s="465"/>
      <c r="V327" s="465"/>
      <c r="W327" s="465"/>
      <c r="X327" s="465"/>
      <c r="Y327" s="465"/>
      <c r="Z327" s="465"/>
      <c r="AA327" s="465"/>
      <c r="AB327" s="465"/>
      <c r="AC327" s="465"/>
      <c r="AD327" s="465"/>
      <c r="AE327" s="465"/>
      <c r="AF327" s="465"/>
      <c r="AG327" s="465"/>
      <c r="AH327" s="465"/>
      <c r="AI327" s="465"/>
      <c r="AJ327" s="465"/>
      <c r="AK327" s="465"/>
      <c r="AL327" s="465"/>
      <c r="AM327" s="465"/>
      <c r="AN327" s="465"/>
      <c r="AO327" s="465"/>
      <c r="AP327" s="465"/>
      <c r="AQ327" s="465"/>
      <c r="AR327" s="465"/>
      <c r="AS327" s="465"/>
      <c r="AT327" s="465"/>
      <c r="AU327" s="465"/>
      <c r="AV327" s="465"/>
      <c r="AW327" s="465"/>
      <c r="AX327" s="465"/>
      <c r="AY327" s="465"/>
      <c r="AZ327" s="465"/>
      <c r="BA327" s="465"/>
      <c r="BB327" s="465"/>
      <c r="BC327" s="465"/>
      <c r="BD327" s="465"/>
      <c r="BE327" s="465"/>
      <c r="BF327" s="465"/>
      <c r="BG327" s="465"/>
      <c r="BH327" s="465"/>
      <c r="BI327" s="465"/>
      <c r="BJ327" s="465"/>
      <c r="BK327" s="465"/>
      <c r="BL327" s="465"/>
      <c r="BM327" s="465"/>
      <c r="BN327" s="465"/>
      <c r="BO327" s="465"/>
      <c r="BP327" s="465"/>
      <c r="BQ327" s="465"/>
      <c r="BR327" s="465"/>
      <c r="BS327" s="465"/>
      <c r="BT327" s="465"/>
      <c r="BU327" s="465"/>
      <c r="BV327" s="465"/>
      <c r="BW327" s="465"/>
      <c r="BX327" s="465"/>
      <c r="BY327" s="465"/>
      <c r="BZ327" s="465"/>
      <c r="CA327" s="465"/>
      <c r="CB327" s="465"/>
      <c r="CC327" s="465"/>
      <c r="CD327" s="465"/>
      <c r="CE327" s="465"/>
      <c r="CF327" s="465"/>
      <c r="CG327" s="465"/>
      <c r="CH327" s="465"/>
      <c r="CI327" s="465"/>
      <c r="CJ327" s="465"/>
      <c r="CK327" s="465"/>
      <c r="CL327" s="465"/>
      <c r="CM327" s="465"/>
      <c r="CN327" s="465"/>
      <c r="CO327" s="465"/>
      <c r="CP327" s="465"/>
      <c r="CQ327" s="465"/>
      <c r="CR327" s="465"/>
      <c r="CS327" s="465"/>
      <c r="CT327" s="465"/>
      <c r="CU327" s="465"/>
      <c r="CV327" s="465"/>
      <c r="CW327" s="465"/>
      <c r="CX327" s="465"/>
      <c r="CY327" s="465"/>
      <c r="CZ327" s="465"/>
      <c r="DA327" s="465"/>
      <c r="DB327" s="465"/>
      <c r="DC327" s="465"/>
      <c r="DD327" s="465"/>
      <c r="DE327" s="465"/>
      <c r="DF327" s="465"/>
      <c r="DG327" s="465"/>
      <c r="DH327" s="465"/>
      <c r="DI327" s="465"/>
      <c r="DJ327" s="465"/>
      <c r="DK327" s="465"/>
      <c r="DL327" s="465"/>
      <c r="DM327" s="465"/>
      <c r="DN327" s="465"/>
      <c r="DO327" s="465"/>
      <c r="DP327" s="465"/>
      <c r="DQ327" s="465"/>
      <c r="DR327" s="465"/>
      <c r="DS327" s="465"/>
      <c r="DT327" s="465"/>
      <c r="DU327" s="465"/>
      <c r="DV327" s="465"/>
      <c r="DW327" s="465"/>
      <c r="DX327" s="465"/>
      <c r="DY327" s="465"/>
      <c r="DZ327" s="465"/>
      <c r="EA327" s="465"/>
      <c r="EB327" s="465"/>
      <c r="EC327" s="465"/>
      <c r="ED327" s="465"/>
      <c r="EE327" s="465"/>
      <c r="EF327" s="465"/>
      <c r="EG327" s="465"/>
      <c r="EH327" s="465"/>
      <c r="EI327" s="465"/>
      <c r="EJ327" s="465"/>
      <c r="EK327" s="465"/>
      <c r="EL327" s="465"/>
      <c r="EM327" s="465"/>
      <c r="EN327" s="465"/>
      <c r="EO327" s="465"/>
      <c r="EP327" s="465"/>
      <c r="EQ327" s="465"/>
      <c r="ER327" s="465"/>
      <c r="ES327" s="465"/>
      <c r="ET327" s="465"/>
      <c r="EU327" s="465"/>
      <c r="EV327" s="465"/>
      <c r="EW327" s="465"/>
      <c r="EX327" s="465"/>
      <c r="EY327" s="465"/>
      <c r="EZ327" s="465"/>
      <c r="FA327" s="465"/>
      <c r="FB327" s="465"/>
      <c r="FC327" s="465"/>
      <c r="FD327" s="465"/>
      <c r="FE327" s="465"/>
      <c r="FF327" s="465"/>
      <c r="FG327" s="465"/>
      <c r="FH327" s="465"/>
      <c r="FI327" s="465"/>
      <c r="FJ327" s="465"/>
      <c r="FK327" s="465"/>
      <c r="FL327" s="465"/>
      <c r="FM327" s="465"/>
      <c r="FN327" s="465"/>
      <c r="FO327" s="465"/>
      <c r="FP327" s="465"/>
      <c r="FQ327" s="465"/>
      <c r="FR327" s="465"/>
      <c r="FS327" s="465"/>
      <c r="FT327" s="465"/>
      <c r="FU327" s="465"/>
      <c r="FV327" s="465"/>
      <c r="FW327" s="465"/>
      <c r="FX327" s="465"/>
      <c r="FY327" s="465"/>
      <c r="FZ327" s="465"/>
      <c r="GA327" s="465"/>
      <c r="GB327" s="465"/>
      <c r="GC327" s="465"/>
      <c r="GD327" s="465"/>
      <c r="GE327" s="465"/>
      <c r="GF327" s="465"/>
      <c r="GG327" s="465"/>
      <c r="GH327" s="465"/>
      <c r="GI327" s="465"/>
      <c r="GJ327" s="465"/>
      <c r="GK327" s="465"/>
      <c r="GL327" s="465"/>
      <c r="GM327" s="465"/>
      <c r="GN327" s="465"/>
      <c r="GO327" s="465"/>
      <c r="GP327" s="465"/>
      <c r="GQ327" s="465"/>
      <c r="GR327" s="465"/>
      <c r="GS327" s="465"/>
      <c r="GT327" s="465"/>
      <c r="GU327" s="465"/>
      <c r="GV327" s="465"/>
      <c r="GW327" s="465"/>
      <c r="GX327" s="465"/>
      <c r="GY327" s="465"/>
      <c r="GZ327" s="465"/>
      <c r="HA327" s="465"/>
      <c r="HB327" s="465"/>
      <c r="HC327" s="465"/>
      <c r="HD327" s="465"/>
      <c r="HE327" s="465"/>
      <c r="HF327" s="465"/>
      <c r="HG327" s="465"/>
      <c r="HH327" s="465"/>
      <c r="HI327" s="465"/>
      <c r="HJ327" s="465"/>
      <c r="HK327" s="465"/>
      <c r="HL327" s="465"/>
      <c r="HM327" s="465"/>
      <c r="HN327" s="465"/>
      <c r="HO327" s="465"/>
      <c r="HP327" s="465"/>
      <c r="HQ327" s="465"/>
      <c r="HR327" s="465"/>
      <c r="HS327" s="465"/>
      <c r="HT327" s="465"/>
      <c r="HU327" s="465"/>
      <c r="HV327" s="465"/>
      <c r="HW327" s="465"/>
      <c r="HX327" s="465"/>
      <c r="HY327" s="465"/>
      <c r="HZ327" s="465"/>
      <c r="IA327" s="465"/>
      <c r="IB327" s="465"/>
      <c r="IC327" s="465"/>
      <c r="ID327" s="465"/>
      <c r="IE327" s="465"/>
      <c r="IF327" s="465"/>
      <c r="IG327" s="465"/>
      <c r="IH327" s="465"/>
      <c r="II327" s="465"/>
      <c r="IJ327" s="465"/>
      <c r="IK327" s="465"/>
      <c r="IL327" s="465"/>
      <c r="IM327" s="465"/>
      <c r="IN327" s="465"/>
      <c r="IO327" s="465"/>
      <c r="IP327" s="465"/>
      <c r="IQ327" s="465"/>
    </row>
    <row r="328" spans="1:251" s="466" customFormat="1">
      <c r="A328" s="325" t="s">
        <v>987</v>
      </c>
      <c r="B328" s="194">
        <f>0.31*12*B316*1.13</f>
        <v>9828.8575199999977</v>
      </c>
      <c r="C328" s="465"/>
      <c r="D328" s="465"/>
      <c r="E328" s="465"/>
      <c r="F328" s="465"/>
      <c r="G328" s="465"/>
      <c r="H328" s="465"/>
      <c r="I328" s="465"/>
      <c r="J328" s="465"/>
      <c r="K328" s="465"/>
      <c r="L328" s="465"/>
      <c r="M328" s="465"/>
      <c r="N328" s="465"/>
      <c r="O328" s="465"/>
      <c r="P328" s="465"/>
      <c r="Q328" s="465"/>
      <c r="R328" s="465"/>
      <c r="S328" s="465"/>
      <c r="T328" s="465"/>
      <c r="U328" s="465"/>
      <c r="V328" s="465"/>
      <c r="W328" s="465"/>
      <c r="X328" s="465"/>
      <c r="Y328" s="465"/>
      <c r="Z328" s="465"/>
      <c r="AA328" s="465"/>
      <c r="AB328" s="465"/>
      <c r="AC328" s="465"/>
      <c r="AD328" s="465"/>
      <c r="AE328" s="465"/>
      <c r="AF328" s="465"/>
      <c r="AG328" s="465"/>
      <c r="AH328" s="465"/>
      <c r="AI328" s="465"/>
      <c r="AJ328" s="465"/>
      <c r="AK328" s="465"/>
      <c r="AL328" s="465"/>
      <c r="AM328" s="465"/>
      <c r="AN328" s="465"/>
      <c r="AO328" s="465"/>
      <c r="AP328" s="465"/>
      <c r="AQ328" s="465"/>
      <c r="AR328" s="465"/>
      <c r="AS328" s="465"/>
      <c r="AT328" s="465"/>
      <c r="AU328" s="465"/>
      <c r="AV328" s="465"/>
      <c r="AW328" s="465"/>
      <c r="AX328" s="465"/>
      <c r="AY328" s="465"/>
      <c r="AZ328" s="465"/>
      <c r="BA328" s="465"/>
      <c r="BB328" s="465"/>
      <c r="BC328" s="465"/>
      <c r="BD328" s="465"/>
      <c r="BE328" s="465"/>
      <c r="BF328" s="465"/>
      <c r="BG328" s="465"/>
      <c r="BH328" s="465"/>
      <c r="BI328" s="465"/>
      <c r="BJ328" s="465"/>
      <c r="BK328" s="465"/>
      <c r="BL328" s="465"/>
      <c r="BM328" s="465"/>
      <c r="BN328" s="465"/>
      <c r="BO328" s="465"/>
      <c r="BP328" s="465"/>
      <c r="BQ328" s="465"/>
      <c r="BR328" s="465"/>
      <c r="BS328" s="465"/>
      <c r="BT328" s="465"/>
      <c r="BU328" s="465"/>
      <c r="BV328" s="465"/>
      <c r="BW328" s="465"/>
      <c r="BX328" s="465"/>
      <c r="BY328" s="465"/>
      <c r="BZ328" s="465"/>
      <c r="CA328" s="465"/>
      <c r="CB328" s="465"/>
      <c r="CC328" s="465"/>
      <c r="CD328" s="465"/>
      <c r="CE328" s="465"/>
      <c r="CF328" s="465"/>
      <c r="CG328" s="465"/>
      <c r="CH328" s="465"/>
      <c r="CI328" s="465"/>
      <c r="CJ328" s="465"/>
      <c r="CK328" s="465"/>
      <c r="CL328" s="465"/>
      <c r="CM328" s="465"/>
      <c r="CN328" s="465"/>
      <c r="CO328" s="465"/>
      <c r="CP328" s="465"/>
      <c r="CQ328" s="465"/>
      <c r="CR328" s="465"/>
      <c r="CS328" s="465"/>
      <c r="CT328" s="465"/>
      <c r="CU328" s="465"/>
      <c r="CV328" s="465"/>
      <c r="CW328" s="465"/>
      <c r="CX328" s="465"/>
      <c r="CY328" s="465"/>
      <c r="CZ328" s="465"/>
      <c r="DA328" s="465"/>
      <c r="DB328" s="465"/>
      <c r="DC328" s="465"/>
      <c r="DD328" s="465"/>
      <c r="DE328" s="465"/>
      <c r="DF328" s="465"/>
      <c r="DG328" s="465"/>
      <c r="DH328" s="465"/>
      <c r="DI328" s="465"/>
      <c r="DJ328" s="465"/>
      <c r="DK328" s="465"/>
      <c r="DL328" s="465"/>
      <c r="DM328" s="465"/>
      <c r="DN328" s="465"/>
      <c r="DO328" s="465"/>
      <c r="DP328" s="465"/>
      <c r="DQ328" s="465"/>
      <c r="DR328" s="465"/>
      <c r="DS328" s="465"/>
      <c r="DT328" s="465"/>
      <c r="DU328" s="465"/>
      <c r="DV328" s="465"/>
      <c r="DW328" s="465"/>
      <c r="DX328" s="465"/>
      <c r="DY328" s="465"/>
      <c r="DZ328" s="465"/>
      <c r="EA328" s="465"/>
      <c r="EB328" s="465"/>
      <c r="EC328" s="465"/>
      <c r="ED328" s="465"/>
      <c r="EE328" s="465"/>
      <c r="EF328" s="465"/>
      <c r="EG328" s="465"/>
      <c r="EH328" s="465"/>
      <c r="EI328" s="465"/>
      <c r="EJ328" s="465"/>
      <c r="EK328" s="465"/>
      <c r="EL328" s="465"/>
      <c r="EM328" s="465"/>
      <c r="EN328" s="465"/>
      <c r="EO328" s="465"/>
      <c r="EP328" s="465"/>
      <c r="EQ328" s="465"/>
      <c r="ER328" s="465"/>
      <c r="ES328" s="465"/>
      <c r="ET328" s="465"/>
      <c r="EU328" s="465"/>
      <c r="EV328" s="465"/>
      <c r="EW328" s="465"/>
      <c r="EX328" s="465"/>
      <c r="EY328" s="465"/>
      <c r="EZ328" s="465"/>
      <c r="FA328" s="465"/>
      <c r="FB328" s="465"/>
      <c r="FC328" s="465"/>
      <c r="FD328" s="465"/>
      <c r="FE328" s="465"/>
      <c r="FF328" s="465"/>
      <c r="FG328" s="465"/>
      <c r="FH328" s="465"/>
      <c r="FI328" s="465"/>
      <c r="FJ328" s="465"/>
      <c r="FK328" s="465"/>
      <c r="FL328" s="465"/>
      <c r="FM328" s="465"/>
      <c r="FN328" s="465"/>
      <c r="FO328" s="465"/>
      <c r="FP328" s="465"/>
      <c r="FQ328" s="465"/>
      <c r="FR328" s="465"/>
      <c r="FS328" s="465"/>
      <c r="FT328" s="465"/>
      <c r="FU328" s="465"/>
      <c r="FV328" s="465"/>
      <c r="FW328" s="465"/>
      <c r="FX328" s="465"/>
      <c r="FY328" s="465"/>
      <c r="FZ328" s="465"/>
      <c r="GA328" s="465"/>
      <c r="GB328" s="465"/>
      <c r="GC328" s="465"/>
      <c r="GD328" s="465"/>
      <c r="GE328" s="465"/>
      <c r="GF328" s="465"/>
      <c r="GG328" s="465"/>
      <c r="GH328" s="465"/>
      <c r="GI328" s="465"/>
      <c r="GJ328" s="465"/>
      <c r="GK328" s="465"/>
      <c r="GL328" s="465"/>
      <c r="GM328" s="465"/>
      <c r="GN328" s="465"/>
      <c r="GO328" s="465"/>
      <c r="GP328" s="465"/>
      <c r="GQ328" s="465"/>
      <c r="GR328" s="465"/>
      <c r="GS328" s="465"/>
      <c r="GT328" s="465"/>
      <c r="GU328" s="465"/>
      <c r="GV328" s="465"/>
      <c r="GW328" s="465"/>
      <c r="GX328" s="465"/>
      <c r="GY328" s="465"/>
      <c r="GZ328" s="465"/>
      <c r="HA328" s="465"/>
      <c r="HB328" s="465"/>
      <c r="HC328" s="465"/>
      <c r="HD328" s="465"/>
      <c r="HE328" s="465"/>
      <c r="HF328" s="465"/>
      <c r="HG328" s="465"/>
      <c r="HH328" s="465"/>
      <c r="HI328" s="465"/>
      <c r="HJ328" s="465"/>
      <c r="HK328" s="465"/>
      <c r="HL328" s="465"/>
      <c r="HM328" s="465"/>
      <c r="HN328" s="465"/>
      <c r="HO328" s="465"/>
      <c r="HP328" s="465"/>
      <c r="HQ328" s="465"/>
      <c r="HR328" s="465"/>
      <c r="HS328" s="465"/>
      <c r="HT328" s="465"/>
      <c r="HU328" s="465"/>
      <c r="HV328" s="465"/>
      <c r="HW328" s="465"/>
      <c r="HX328" s="465"/>
      <c r="HY328" s="465"/>
      <c r="HZ328" s="465"/>
      <c r="IA328" s="465"/>
      <c r="IB328" s="465"/>
      <c r="IC328" s="465"/>
      <c r="ID328" s="465"/>
      <c r="IE328" s="465"/>
      <c r="IF328" s="465"/>
      <c r="IG328" s="465"/>
      <c r="IH328" s="465"/>
      <c r="II328" s="465"/>
      <c r="IJ328" s="465"/>
      <c r="IK328" s="465"/>
      <c r="IL328" s="465"/>
      <c r="IM328" s="465"/>
      <c r="IN328" s="465"/>
      <c r="IO328" s="465"/>
      <c r="IP328" s="465"/>
      <c r="IQ328" s="465"/>
    </row>
    <row r="329" spans="1:251" s="466" customFormat="1">
      <c r="A329" s="325" t="s">
        <v>520</v>
      </c>
      <c r="B329" s="194">
        <f>0.89*12*B316*1.13</f>
        <v>28218.332879999994</v>
      </c>
      <c r="C329" s="465"/>
      <c r="D329" s="465"/>
      <c r="E329" s="465"/>
      <c r="F329" s="465"/>
      <c r="G329" s="465"/>
      <c r="H329" s="465"/>
      <c r="I329" s="465"/>
      <c r="J329" s="465"/>
      <c r="K329" s="465"/>
      <c r="L329" s="465"/>
      <c r="M329" s="465"/>
      <c r="N329" s="465"/>
      <c r="O329" s="465"/>
      <c r="P329" s="465"/>
      <c r="Q329" s="465"/>
      <c r="R329" s="465"/>
      <c r="S329" s="465"/>
      <c r="T329" s="465"/>
      <c r="U329" s="465"/>
      <c r="V329" s="465"/>
      <c r="W329" s="465"/>
      <c r="X329" s="465"/>
      <c r="Y329" s="465"/>
      <c r="Z329" s="465"/>
      <c r="AA329" s="465"/>
      <c r="AB329" s="465"/>
      <c r="AC329" s="465"/>
      <c r="AD329" s="465"/>
      <c r="AE329" s="465"/>
      <c r="AF329" s="465"/>
      <c r="AG329" s="465"/>
      <c r="AH329" s="465"/>
      <c r="AI329" s="465"/>
      <c r="AJ329" s="465"/>
      <c r="AK329" s="465"/>
      <c r="AL329" s="465"/>
      <c r="AM329" s="465"/>
      <c r="AN329" s="465"/>
      <c r="AO329" s="465"/>
      <c r="AP329" s="465"/>
      <c r="AQ329" s="465"/>
      <c r="AR329" s="465"/>
      <c r="AS329" s="465"/>
      <c r="AT329" s="465"/>
      <c r="AU329" s="465"/>
      <c r="AV329" s="465"/>
      <c r="AW329" s="465"/>
      <c r="AX329" s="465"/>
      <c r="AY329" s="465"/>
      <c r="AZ329" s="465"/>
      <c r="BA329" s="465"/>
      <c r="BB329" s="465"/>
      <c r="BC329" s="465"/>
      <c r="BD329" s="465"/>
      <c r="BE329" s="465"/>
      <c r="BF329" s="465"/>
      <c r="BG329" s="465"/>
      <c r="BH329" s="465"/>
      <c r="BI329" s="465"/>
      <c r="BJ329" s="465"/>
      <c r="BK329" s="465"/>
      <c r="BL329" s="465"/>
      <c r="BM329" s="465"/>
      <c r="BN329" s="465"/>
      <c r="BO329" s="465"/>
      <c r="BP329" s="465"/>
      <c r="BQ329" s="465"/>
      <c r="BR329" s="465"/>
      <c r="BS329" s="465"/>
      <c r="BT329" s="465"/>
      <c r="BU329" s="465"/>
      <c r="BV329" s="465"/>
      <c r="BW329" s="465"/>
      <c r="BX329" s="465"/>
      <c r="BY329" s="465"/>
      <c r="BZ329" s="465"/>
      <c r="CA329" s="465"/>
      <c r="CB329" s="465"/>
      <c r="CC329" s="465"/>
      <c r="CD329" s="465"/>
      <c r="CE329" s="465"/>
      <c r="CF329" s="465"/>
      <c r="CG329" s="465"/>
      <c r="CH329" s="465"/>
      <c r="CI329" s="465"/>
      <c r="CJ329" s="465"/>
      <c r="CK329" s="465"/>
      <c r="CL329" s="465"/>
      <c r="CM329" s="465"/>
      <c r="CN329" s="465"/>
      <c r="CO329" s="465"/>
      <c r="CP329" s="465"/>
      <c r="CQ329" s="465"/>
      <c r="CR329" s="465"/>
      <c r="CS329" s="465"/>
      <c r="CT329" s="465"/>
      <c r="CU329" s="465"/>
      <c r="CV329" s="465"/>
      <c r="CW329" s="465"/>
      <c r="CX329" s="465"/>
      <c r="CY329" s="465"/>
      <c r="CZ329" s="465"/>
      <c r="DA329" s="465"/>
      <c r="DB329" s="465"/>
      <c r="DC329" s="465"/>
      <c r="DD329" s="465"/>
      <c r="DE329" s="465"/>
      <c r="DF329" s="465"/>
      <c r="DG329" s="465"/>
      <c r="DH329" s="465"/>
      <c r="DI329" s="465"/>
      <c r="DJ329" s="465"/>
      <c r="DK329" s="465"/>
      <c r="DL329" s="465"/>
      <c r="DM329" s="465"/>
      <c r="DN329" s="465"/>
      <c r="DO329" s="465"/>
      <c r="DP329" s="465"/>
      <c r="DQ329" s="465"/>
      <c r="DR329" s="465"/>
      <c r="DS329" s="465"/>
      <c r="DT329" s="465"/>
      <c r="DU329" s="465"/>
      <c r="DV329" s="465"/>
      <c r="DW329" s="465"/>
      <c r="DX329" s="465"/>
      <c r="DY329" s="465"/>
      <c r="DZ329" s="465"/>
      <c r="EA329" s="465"/>
      <c r="EB329" s="465"/>
      <c r="EC329" s="465"/>
      <c r="ED329" s="465"/>
      <c r="EE329" s="465"/>
      <c r="EF329" s="465"/>
      <c r="EG329" s="465"/>
      <c r="EH329" s="465"/>
      <c r="EI329" s="465"/>
      <c r="EJ329" s="465"/>
      <c r="EK329" s="465"/>
      <c r="EL329" s="465"/>
      <c r="EM329" s="465"/>
      <c r="EN329" s="465"/>
      <c r="EO329" s="465"/>
      <c r="EP329" s="465"/>
      <c r="EQ329" s="465"/>
      <c r="ER329" s="465"/>
      <c r="ES329" s="465"/>
      <c r="ET329" s="465"/>
      <c r="EU329" s="465"/>
      <c r="EV329" s="465"/>
      <c r="EW329" s="465"/>
      <c r="EX329" s="465"/>
      <c r="EY329" s="465"/>
      <c r="EZ329" s="465"/>
      <c r="FA329" s="465"/>
      <c r="FB329" s="465"/>
      <c r="FC329" s="465"/>
      <c r="FD329" s="465"/>
      <c r="FE329" s="465"/>
      <c r="FF329" s="465"/>
      <c r="FG329" s="465"/>
      <c r="FH329" s="465"/>
      <c r="FI329" s="465"/>
      <c r="FJ329" s="465"/>
      <c r="FK329" s="465"/>
      <c r="FL329" s="465"/>
      <c r="FM329" s="465"/>
      <c r="FN329" s="465"/>
      <c r="FO329" s="465"/>
      <c r="FP329" s="465"/>
      <c r="FQ329" s="465"/>
      <c r="FR329" s="465"/>
      <c r="FS329" s="465"/>
      <c r="FT329" s="465"/>
      <c r="FU329" s="465"/>
      <c r="FV329" s="465"/>
      <c r="FW329" s="465"/>
      <c r="FX329" s="465"/>
      <c r="FY329" s="465"/>
      <c r="FZ329" s="465"/>
      <c r="GA329" s="465"/>
      <c r="GB329" s="465"/>
      <c r="GC329" s="465"/>
      <c r="GD329" s="465"/>
      <c r="GE329" s="465"/>
      <c r="GF329" s="465"/>
      <c r="GG329" s="465"/>
      <c r="GH329" s="465"/>
      <c r="GI329" s="465"/>
      <c r="GJ329" s="465"/>
      <c r="GK329" s="465"/>
      <c r="GL329" s="465"/>
      <c r="GM329" s="465"/>
      <c r="GN329" s="465"/>
      <c r="GO329" s="465"/>
      <c r="GP329" s="465"/>
      <c r="GQ329" s="465"/>
      <c r="GR329" s="465"/>
      <c r="GS329" s="465"/>
      <c r="GT329" s="465"/>
      <c r="GU329" s="465"/>
      <c r="GV329" s="465"/>
      <c r="GW329" s="465"/>
      <c r="GX329" s="465"/>
      <c r="GY329" s="465"/>
      <c r="GZ329" s="465"/>
      <c r="HA329" s="465"/>
      <c r="HB329" s="465"/>
      <c r="HC329" s="465"/>
      <c r="HD329" s="465"/>
      <c r="HE329" s="465"/>
      <c r="HF329" s="465"/>
      <c r="HG329" s="465"/>
      <c r="HH329" s="465"/>
      <c r="HI329" s="465"/>
      <c r="HJ329" s="465"/>
      <c r="HK329" s="465"/>
      <c r="HL329" s="465"/>
      <c r="HM329" s="465"/>
      <c r="HN329" s="465"/>
      <c r="HO329" s="465"/>
      <c r="HP329" s="465"/>
      <c r="HQ329" s="465"/>
      <c r="HR329" s="465"/>
      <c r="HS329" s="465"/>
      <c r="HT329" s="465"/>
      <c r="HU329" s="465"/>
      <c r="HV329" s="465"/>
      <c r="HW329" s="465"/>
      <c r="HX329" s="465"/>
      <c r="HY329" s="465"/>
      <c r="HZ329" s="465"/>
      <c r="IA329" s="465"/>
      <c r="IB329" s="465"/>
      <c r="IC329" s="465"/>
      <c r="ID329" s="465"/>
      <c r="IE329" s="465"/>
      <c r="IF329" s="465"/>
      <c r="IG329" s="465"/>
      <c r="IH329" s="465"/>
      <c r="II329" s="465"/>
      <c r="IJ329" s="465"/>
      <c r="IK329" s="465"/>
      <c r="IL329" s="465"/>
      <c r="IM329" s="465"/>
      <c r="IN329" s="465"/>
      <c r="IO329" s="465"/>
      <c r="IP329" s="465"/>
      <c r="IQ329" s="465"/>
    </row>
    <row r="330" spans="1:251">
      <c r="A330" s="325" t="s">
        <v>2027</v>
      </c>
      <c r="B330" s="194">
        <f>9915*1.13</f>
        <v>11203.949999999999</v>
      </c>
      <c r="C330" s="179"/>
      <c r="D330" s="17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79"/>
      <c r="AT330" s="179"/>
      <c r="AU330" s="179"/>
      <c r="AV330" s="179"/>
      <c r="AW330" s="179"/>
      <c r="AX330" s="179"/>
      <c r="AY330" s="179"/>
      <c r="AZ330" s="179"/>
      <c r="BA330" s="179"/>
      <c r="BB330" s="179"/>
      <c r="BC330" s="179"/>
      <c r="BD330" s="179"/>
      <c r="BE330" s="179"/>
      <c r="BF330" s="179"/>
      <c r="BG330" s="179"/>
      <c r="BH330" s="179"/>
      <c r="BI330" s="179"/>
      <c r="BJ330" s="179"/>
      <c r="BK330" s="179"/>
      <c r="BL330" s="179"/>
      <c r="BM330" s="179"/>
      <c r="BN330" s="179"/>
      <c r="BO330" s="179"/>
      <c r="BP330" s="179"/>
      <c r="BQ330" s="179"/>
      <c r="BR330" s="179"/>
      <c r="BS330" s="179"/>
      <c r="BT330" s="179"/>
      <c r="BU330" s="179"/>
      <c r="BV330" s="179"/>
      <c r="BW330" s="179"/>
      <c r="BX330" s="179"/>
      <c r="BY330" s="179"/>
      <c r="BZ330" s="179"/>
      <c r="CA330" s="179"/>
      <c r="CB330" s="179"/>
      <c r="CC330" s="179"/>
      <c r="CD330" s="179"/>
      <c r="CE330" s="179"/>
      <c r="CF330" s="179"/>
      <c r="CG330" s="179"/>
      <c r="CH330" s="179"/>
      <c r="CI330" s="179"/>
      <c r="CJ330" s="179"/>
      <c r="CK330" s="179"/>
      <c r="CL330" s="179"/>
      <c r="CM330" s="179"/>
      <c r="CN330" s="179"/>
      <c r="CO330" s="179"/>
      <c r="CP330" s="179"/>
      <c r="CQ330" s="179"/>
      <c r="CR330" s="179"/>
      <c r="CS330" s="179"/>
      <c r="CT330" s="179"/>
      <c r="CU330" s="179"/>
      <c r="CV330" s="179"/>
      <c r="CW330" s="179"/>
      <c r="CX330" s="179"/>
      <c r="CY330" s="179"/>
      <c r="CZ330" s="179"/>
      <c r="DA330" s="179"/>
      <c r="DB330" s="179"/>
      <c r="DC330" s="179"/>
      <c r="DD330" s="179"/>
      <c r="DE330" s="179"/>
      <c r="DF330" s="179"/>
      <c r="DG330" s="179"/>
      <c r="DH330" s="179"/>
      <c r="DI330" s="179"/>
      <c r="DJ330" s="179"/>
      <c r="DK330" s="179"/>
      <c r="DL330" s="179"/>
      <c r="DM330" s="179"/>
      <c r="DN330" s="179"/>
      <c r="DO330" s="179"/>
      <c r="DP330" s="179"/>
      <c r="DQ330" s="179"/>
      <c r="DR330" s="179"/>
      <c r="DS330" s="179"/>
      <c r="DT330" s="179"/>
      <c r="DU330" s="179"/>
      <c r="DV330" s="179"/>
      <c r="DW330" s="179"/>
      <c r="DX330" s="179"/>
      <c r="DY330" s="179"/>
      <c r="DZ330" s="179"/>
      <c r="EA330" s="179"/>
      <c r="EB330" s="179"/>
      <c r="EC330" s="179"/>
      <c r="ED330" s="179"/>
      <c r="EE330" s="179"/>
      <c r="EF330" s="179"/>
      <c r="EG330" s="179"/>
      <c r="EH330" s="179"/>
      <c r="EI330" s="179"/>
      <c r="EJ330" s="179"/>
      <c r="EK330" s="179"/>
      <c r="EL330" s="179"/>
      <c r="EM330" s="179"/>
      <c r="EN330" s="179"/>
      <c r="EO330" s="179"/>
      <c r="EP330" s="179"/>
      <c r="EQ330" s="179"/>
      <c r="ER330" s="179"/>
      <c r="ES330" s="179"/>
      <c r="ET330" s="179"/>
      <c r="EU330" s="179"/>
      <c r="EV330" s="179"/>
      <c r="EW330" s="179"/>
      <c r="EX330" s="179"/>
      <c r="EY330" s="179"/>
      <c r="EZ330" s="179"/>
      <c r="FA330" s="179"/>
      <c r="FB330" s="179"/>
      <c r="FC330" s="179"/>
      <c r="FD330" s="179"/>
      <c r="FE330" s="179"/>
      <c r="FF330" s="179"/>
      <c r="FG330" s="179"/>
      <c r="FH330" s="179"/>
      <c r="FI330" s="179"/>
      <c r="FJ330" s="179"/>
      <c r="FK330" s="179"/>
      <c r="FL330" s="179"/>
      <c r="FM330" s="179"/>
      <c r="FN330" s="179"/>
      <c r="FO330" s="179"/>
      <c r="FP330" s="179"/>
      <c r="FQ330" s="179"/>
      <c r="FR330" s="179"/>
      <c r="FS330" s="179"/>
      <c r="FT330" s="179"/>
      <c r="FU330" s="179"/>
      <c r="FV330" s="179"/>
      <c r="FW330" s="179"/>
      <c r="FX330" s="179"/>
      <c r="FY330" s="179"/>
      <c r="FZ330" s="179"/>
      <c r="GA330" s="179"/>
      <c r="GB330" s="179"/>
      <c r="GC330" s="179"/>
      <c r="GD330" s="179"/>
      <c r="GE330" s="179"/>
      <c r="GF330" s="179"/>
      <c r="GG330" s="179"/>
      <c r="GH330" s="179"/>
      <c r="GI330" s="179"/>
      <c r="GJ330" s="179"/>
      <c r="GK330" s="179"/>
      <c r="GL330" s="179"/>
      <c r="GM330" s="179"/>
      <c r="GN330" s="179"/>
      <c r="GO330" s="179"/>
      <c r="GP330" s="179"/>
      <c r="GQ330" s="179"/>
      <c r="GR330" s="179"/>
      <c r="GS330" s="179"/>
      <c r="GT330" s="179"/>
      <c r="GU330" s="179"/>
      <c r="GV330" s="179"/>
      <c r="GW330" s="179"/>
      <c r="GX330" s="179"/>
      <c r="GY330" s="179"/>
      <c r="GZ330" s="179"/>
      <c r="HA330" s="179"/>
      <c r="HB330" s="179"/>
      <c r="HC330" s="179"/>
      <c r="HD330" s="179"/>
      <c r="HE330" s="179"/>
      <c r="HF330" s="179"/>
      <c r="HG330" s="179"/>
      <c r="HH330" s="179"/>
      <c r="HI330" s="179"/>
      <c r="HJ330" s="179"/>
      <c r="HK330" s="179"/>
      <c r="HL330" s="179"/>
      <c r="HM330" s="179"/>
      <c r="HN330" s="179"/>
      <c r="HO330" s="179"/>
      <c r="HP330" s="179"/>
      <c r="HQ330" s="179"/>
      <c r="HR330" s="179"/>
      <c r="HS330" s="179"/>
      <c r="HT330" s="179"/>
      <c r="HU330" s="179"/>
      <c r="HV330" s="179"/>
      <c r="HW330" s="179"/>
      <c r="HX330" s="179"/>
      <c r="HY330" s="179"/>
      <c r="HZ330" s="179"/>
      <c r="IA330" s="179"/>
      <c r="IB330" s="179"/>
      <c r="IC330" s="179"/>
      <c r="ID330" s="179"/>
      <c r="IE330" s="179"/>
      <c r="IF330" s="179"/>
      <c r="IG330" s="179"/>
      <c r="IH330" s="179"/>
      <c r="II330" s="179"/>
      <c r="IJ330" s="179"/>
      <c r="IK330" s="179"/>
      <c r="IL330" s="179"/>
      <c r="IM330" s="179"/>
      <c r="IN330" s="179"/>
      <c r="IO330" s="179"/>
      <c r="IP330" s="179"/>
      <c r="IQ330" s="179"/>
    </row>
    <row r="331" spans="1:251" s="466" customFormat="1">
      <c r="A331" s="325" t="s">
        <v>2418</v>
      </c>
      <c r="B331" s="194">
        <f>(1.4*9100*13*1.302+657813)*1.13</f>
        <v>986998.77119999984</v>
      </c>
      <c r="C331" s="465" t="s">
        <v>2419</v>
      </c>
      <c r="D331" s="465"/>
      <c r="E331" s="465"/>
      <c r="F331" s="465"/>
      <c r="G331" s="465"/>
      <c r="H331" s="465"/>
      <c r="I331" s="465"/>
      <c r="J331" s="465"/>
      <c r="K331" s="465"/>
      <c r="L331" s="465"/>
      <c r="M331" s="465"/>
      <c r="N331" s="465"/>
      <c r="O331" s="465"/>
      <c r="P331" s="465"/>
      <c r="Q331" s="465"/>
      <c r="R331" s="465"/>
      <c r="S331" s="465"/>
      <c r="T331" s="465"/>
      <c r="U331" s="465"/>
      <c r="V331" s="465"/>
      <c r="W331" s="465"/>
      <c r="X331" s="465"/>
      <c r="Y331" s="465"/>
      <c r="Z331" s="465"/>
      <c r="AA331" s="465"/>
      <c r="AB331" s="465"/>
      <c r="AC331" s="465"/>
      <c r="AD331" s="465"/>
      <c r="AE331" s="465"/>
      <c r="AF331" s="465"/>
      <c r="AG331" s="465"/>
      <c r="AH331" s="465"/>
      <c r="AI331" s="465"/>
      <c r="AJ331" s="465"/>
      <c r="AK331" s="465"/>
      <c r="AL331" s="465"/>
      <c r="AM331" s="465"/>
      <c r="AN331" s="465"/>
      <c r="AO331" s="465"/>
      <c r="AP331" s="465"/>
      <c r="AQ331" s="465"/>
      <c r="AR331" s="465"/>
      <c r="AS331" s="465"/>
      <c r="AT331" s="465"/>
      <c r="AU331" s="465"/>
      <c r="AV331" s="465"/>
      <c r="AW331" s="465"/>
      <c r="AX331" s="465"/>
      <c r="AY331" s="465"/>
      <c r="AZ331" s="465"/>
      <c r="BA331" s="465"/>
      <c r="BB331" s="465"/>
      <c r="BC331" s="465"/>
      <c r="BD331" s="465"/>
      <c r="BE331" s="465"/>
      <c r="BF331" s="465"/>
      <c r="BG331" s="465"/>
      <c r="BH331" s="465"/>
      <c r="BI331" s="465"/>
      <c r="BJ331" s="465"/>
      <c r="BK331" s="465"/>
      <c r="BL331" s="465"/>
      <c r="BM331" s="465"/>
      <c r="BN331" s="465"/>
      <c r="BO331" s="465"/>
      <c r="BP331" s="465"/>
      <c r="BQ331" s="465"/>
      <c r="BR331" s="465"/>
      <c r="BS331" s="465"/>
      <c r="BT331" s="465"/>
      <c r="BU331" s="465"/>
      <c r="BV331" s="465"/>
      <c r="BW331" s="465"/>
      <c r="BX331" s="465"/>
      <c r="BY331" s="465"/>
      <c r="BZ331" s="465"/>
      <c r="CA331" s="465"/>
      <c r="CB331" s="465"/>
      <c r="CC331" s="465"/>
      <c r="CD331" s="465"/>
      <c r="CE331" s="465"/>
      <c r="CF331" s="465"/>
      <c r="CG331" s="465"/>
      <c r="CH331" s="465"/>
      <c r="CI331" s="465"/>
      <c r="CJ331" s="465"/>
      <c r="CK331" s="465"/>
      <c r="CL331" s="465"/>
      <c r="CM331" s="465"/>
      <c r="CN331" s="465"/>
      <c r="CO331" s="465"/>
      <c r="CP331" s="465"/>
      <c r="CQ331" s="465"/>
      <c r="CR331" s="465"/>
      <c r="CS331" s="465"/>
      <c r="CT331" s="465"/>
      <c r="CU331" s="465"/>
      <c r="CV331" s="465"/>
      <c r="CW331" s="465"/>
      <c r="CX331" s="465"/>
      <c r="CY331" s="465"/>
      <c r="CZ331" s="465"/>
      <c r="DA331" s="465"/>
      <c r="DB331" s="465"/>
      <c r="DC331" s="465"/>
      <c r="DD331" s="465"/>
      <c r="DE331" s="465"/>
      <c r="DF331" s="465"/>
      <c r="DG331" s="465"/>
      <c r="DH331" s="465"/>
      <c r="DI331" s="465"/>
      <c r="DJ331" s="465"/>
      <c r="DK331" s="465"/>
      <c r="DL331" s="465"/>
      <c r="DM331" s="465"/>
      <c r="DN331" s="465"/>
      <c r="DO331" s="465"/>
      <c r="DP331" s="465"/>
      <c r="DQ331" s="465"/>
      <c r="DR331" s="465"/>
      <c r="DS331" s="465"/>
      <c r="DT331" s="465"/>
      <c r="DU331" s="465"/>
      <c r="DV331" s="465"/>
      <c r="DW331" s="465"/>
      <c r="DX331" s="465"/>
      <c r="DY331" s="465"/>
      <c r="DZ331" s="465"/>
      <c r="EA331" s="465"/>
      <c r="EB331" s="465"/>
      <c r="EC331" s="465"/>
      <c r="ED331" s="465"/>
      <c r="EE331" s="465"/>
      <c r="EF331" s="465"/>
      <c r="EG331" s="465"/>
      <c r="EH331" s="465"/>
      <c r="EI331" s="465"/>
      <c r="EJ331" s="465"/>
      <c r="EK331" s="465"/>
      <c r="EL331" s="465"/>
      <c r="EM331" s="465"/>
      <c r="EN331" s="465"/>
      <c r="EO331" s="465"/>
      <c r="EP331" s="465"/>
      <c r="EQ331" s="465"/>
      <c r="ER331" s="465"/>
      <c r="ES331" s="465"/>
      <c r="ET331" s="465"/>
      <c r="EU331" s="465"/>
      <c r="EV331" s="465"/>
      <c r="EW331" s="465"/>
      <c r="EX331" s="465"/>
      <c r="EY331" s="465"/>
      <c r="EZ331" s="465"/>
      <c r="FA331" s="465"/>
      <c r="FB331" s="465"/>
      <c r="FC331" s="465"/>
      <c r="FD331" s="465"/>
      <c r="FE331" s="465"/>
      <c r="FF331" s="465"/>
      <c r="FG331" s="465"/>
      <c r="FH331" s="465"/>
      <c r="FI331" s="465"/>
      <c r="FJ331" s="465"/>
      <c r="FK331" s="465"/>
      <c r="FL331" s="465"/>
      <c r="FM331" s="465"/>
      <c r="FN331" s="465"/>
      <c r="FO331" s="465"/>
      <c r="FP331" s="465"/>
      <c r="FQ331" s="465"/>
      <c r="FR331" s="465"/>
      <c r="FS331" s="465"/>
      <c r="FT331" s="465"/>
      <c r="FU331" s="465"/>
      <c r="FV331" s="465"/>
      <c r="FW331" s="465"/>
      <c r="FX331" s="465"/>
      <c r="FY331" s="465"/>
      <c r="FZ331" s="465"/>
      <c r="GA331" s="465"/>
      <c r="GB331" s="465"/>
      <c r="GC331" s="465"/>
      <c r="GD331" s="465"/>
      <c r="GE331" s="465"/>
      <c r="GF331" s="465"/>
      <c r="GG331" s="465"/>
      <c r="GH331" s="465"/>
      <c r="GI331" s="465"/>
      <c r="GJ331" s="465"/>
      <c r="GK331" s="465"/>
      <c r="GL331" s="465"/>
      <c r="GM331" s="465"/>
      <c r="GN331" s="465"/>
      <c r="GO331" s="465"/>
      <c r="GP331" s="465"/>
      <c r="GQ331" s="465"/>
      <c r="GR331" s="465"/>
      <c r="GS331" s="465"/>
      <c r="GT331" s="465"/>
      <c r="GU331" s="465"/>
      <c r="GV331" s="465"/>
      <c r="GW331" s="465"/>
      <c r="GX331" s="465"/>
      <c r="GY331" s="465"/>
      <c r="GZ331" s="465"/>
      <c r="HA331" s="465"/>
      <c r="HB331" s="465"/>
      <c r="HC331" s="465"/>
      <c r="HD331" s="465"/>
      <c r="HE331" s="465"/>
      <c r="HF331" s="465"/>
      <c r="HG331" s="465"/>
      <c r="HH331" s="465"/>
      <c r="HI331" s="465"/>
      <c r="HJ331" s="465"/>
      <c r="HK331" s="465"/>
      <c r="HL331" s="465"/>
      <c r="HM331" s="465"/>
      <c r="HN331" s="465"/>
      <c r="HO331" s="465"/>
      <c r="HP331" s="465"/>
      <c r="HQ331" s="465"/>
      <c r="HR331" s="465"/>
      <c r="HS331" s="465"/>
      <c r="HT331" s="465"/>
      <c r="HU331" s="465"/>
      <c r="HV331" s="465"/>
      <c r="HW331" s="465"/>
      <c r="HX331" s="465"/>
      <c r="HY331" s="465"/>
      <c r="HZ331" s="465"/>
      <c r="IA331" s="465"/>
      <c r="IB331" s="465"/>
      <c r="IC331" s="465"/>
      <c r="ID331" s="465"/>
      <c r="IE331" s="465"/>
      <c r="IF331" s="465"/>
      <c r="IG331" s="465"/>
      <c r="IH331" s="465"/>
      <c r="II331" s="465"/>
      <c r="IJ331" s="465"/>
      <c r="IK331" s="465"/>
      <c r="IL331" s="465"/>
      <c r="IM331" s="465"/>
      <c r="IN331" s="465"/>
      <c r="IO331" s="465"/>
      <c r="IP331" s="465"/>
      <c r="IQ331" s="465"/>
    </row>
    <row r="332" spans="1:251">
      <c r="A332" s="325" t="s">
        <v>602</v>
      </c>
      <c r="B332" s="194">
        <f>B313</f>
        <v>462.5</v>
      </c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79"/>
      <c r="AT332" s="179"/>
      <c r="AU332" s="179"/>
      <c r="AV332" s="179"/>
      <c r="AW332" s="179"/>
      <c r="AX332" s="179"/>
      <c r="AY332" s="179"/>
      <c r="AZ332" s="179"/>
      <c r="BA332" s="179"/>
      <c r="BB332" s="179"/>
      <c r="BC332" s="179"/>
      <c r="BD332" s="179"/>
      <c r="BE332" s="179"/>
      <c r="BF332" s="179"/>
      <c r="BG332" s="179"/>
      <c r="BH332" s="179"/>
      <c r="BI332" s="179"/>
      <c r="BJ332" s="179"/>
      <c r="BK332" s="179"/>
      <c r="BL332" s="179"/>
      <c r="BM332" s="179"/>
      <c r="BN332" s="179"/>
      <c r="BO332" s="179"/>
      <c r="BP332" s="179"/>
      <c r="BQ332" s="179"/>
      <c r="BR332" s="179"/>
      <c r="BS332" s="179"/>
      <c r="BT332" s="179"/>
      <c r="BU332" s="179"/>
      <c r="BV332" s="179"/>
      <c r="BW332" s="179"/>
      <c r="BX332" s="179"/>
      <c r="BY332" s="179"/>
      <c r="BZ332" s="179"/>
      <c r="CA332" s="179"/>
      <c r="CB332" s="179"/>
      <c r="CC332" s="179"/>
      <c r="CD332" s="179"/>
      <c r="CE332" s="179"/>
      <c r="CF332" s="179"/>
      <c r="CG332" s="179"/>
      <c r="CH332" s="179"/>
      <c r="CI332" s="179"/>
      <c r="CJ332" s="179"/>
      <c r="CK332" s="179"/>
      <c r="CL332" s="179"/>
      <c r="CM332" s="179"/>
      <c r="CN332" s="179"/>
      <c r="CO332" s="179"/>
      <c r="CP332" s="179"/>
      <c r="CQ332" s="179"/>
      <c r="CR332" s="179"/>
      <c r="CS332" s="179"/>
      <c r="CT332" s="179"/>
      <c r="CU332" s="179"/>
      <c r="CV332" s="179"/>
      <c r="CW332" s="179"/>
      <c r="CX332" s="179"/>
      <c r="CY332" s="179"/>
      <c r="CZ332" s="179"/>
      <c r="DA332" s="179"/>
      <c r="DB332" s="179"/>
      <c r="DC332" s="179"/>
      <c r="DD332" s="179"/>
      <c r="DE332" s="179"/>
      <c r="DF332" s="179"/>
      <c r="DG332" s="179"/>
      <c r="DH332" s="179"/>
      <c r="DI332" s="179"/>
      <c r="DJ332" s="179"/>
      <c r="DK332" s="179"/>
      <c r="DL332" s="179"/>
      <c r="DM332" s="179"/>
      <c r="DN332" s="179"/>
      <c r="DO332" s="179"/>
      <c r="DP332" s="179"/>
      <c r="DQ332" s="179"/>
      <c r="DR332" s="179"/>
      <c r="DS332" s="179"/>
      <c r="DT332" s="179"/>
      <c r="DU332" s="179"/>
      <c r="DV332" s="179"/>
      <c r="DW332" s="179"/>
      <c r="DX332" s="179"/>
      <c r="DY332" s="179"/>
      <c r="DZ332" s="179"/>
      <c r="EA332" s="179"/>
      <c r="EB332" s="179"/>
      <c r="EC332" s="179"/>
      <c r="ED332" s="179"/>
      <c r="EE332" s="179"/>
      <c r="EF332" s="179"/>
      <c r="EG332" s="179"/>
      <c r="EH332" s="179"/>
      <c r="EI332" s="179"/>
      <c r="EJ332" s="179"/>
      <c r="EK332" s="179"/>
      <c r="EL332" s="179"/>
      <c r="EM332" s="179"/>
      <c r="EN332" s="179"/>
      <c r="EO332" s="179"/>
      <c r="EP332" s="179"/>
      <c r="EQ332" s="179"/>
      <c r="ER332" s="179"/>
      <c r="ES332" s="179"/>
      <c r="ET332" s="179"/>
      <c r="EU332" s="179"/>
      <c r="EV332" s="179"/>
      <c r="EW332" s="179"/>
      <c r="EX332" s="179"/>
      <c r="EY332" s="179"/>
      <c r="EZ332" s="179"/>
      <c r="FA332" s="179"/>
      <c r="FB332" s="179"/>
      <c r="FC332" s="179"/>
      <c r="FD332" s="179"/>
      <c r="FE332" s="179"/>
      <c r="FF332" s="179"/>
      <c r="FG332" s="179"/>
      <c r="FH332" s="179"/>
      <c r="FI332" s="179"/>
      <c r="FJ332" s="179"/>
      <c r="FK332" s="179"/>
      <c r="FL332" s="179"/>
      <c r="FM332" s="179"/>
      <c r="FN332" s="179"/>
      <c r="FO332" s="179"/>
      <c r="FP332" s="179"/>
      <c r="FQ332" s="179"/>
      <c r="FR332" s="179"/>
      <c r="FS332" s="179"/>
      <c r="FT332" s="179"/>
      <c r="FU332" s="179"/>
      <c r="FV332" s="179"/>
      <c r="FW332" s="179"/>
      <c r="FX332" s="179"/>
      <c r="FY332" s="179"/>
      <c r="FZ332" s="179"/>
      <c r="GA332" s="179"/>
      <c r="GB332" s="179"/>
      <c r="GC332" s="179"/>
      <c r="GD332" s="179"/>
      <c r="GE332" s="179"/>
      <c r="GF332" s="179"/>
      <c r="GG332" s="179"/>
      <c r="GH332" s="179"/>
      <c r="GI332" s="179"/>
      <c r="GJ332" s="179"/>
      <c r="GK332" s="179"/>
      <c r="GL332" s="179"/>
      <c r="GM332" s="179"/>
      <c r="GN332" s="179"/>
      <c r="GO332" s="179"/>
      <c r="GP332" s="179"/>
      <c r="GQ332" s="179"/>
      <c r="GR332" s="179"/>
      <c r="GS332" s="179"/>
      <c r="GT332" s="179"/>
      <c r="GU332" s="179"/>
      <c r="GV332" s="179"/>
      <c r="GW332" s="179"/>
      <c r="GX332" s="179"/>
      <c r="GY332" s="179"/>
      <c r="GZ332" s="179"/>
      <c r="HA332" s="179"/>
      <c r="HB332" s="179"/>
      <c r="HC332" s="179"/>
      <c r="HD332" s="179"/>
      <c r="HE332" s="179"/>
      <c r="HF332" s="179"/>
      <c r="HG332" s="179"/>
      <c r="HH332" s="179"/>
      <c r="HI332" s="179"/>
      <c r="HJ332" s="179"/>
      <c r="HK332" s="179"/>
      <c r="HL332" s="179"/>
      <c r="HM332" s="179"/>
      <c r="HN332" s="179"/>
      <c r="HO332" s="179"/>
      <c r="HP332" s="179"/>
      <c r="HQ332" s="179"/>
      <c r="HR332" s="179"/>
      <c r="HS332" s="179"/>
      <c r="HT332" s="179"/>
      <c r="HU332" s="179"/>
      <c r="HV332" s="179"/>
      <c r="HW332" s="179"/>
      <c r="HX332" s="179"/>
      <c r="HY332" s="179"/>
      <c r="HZ332" s="179"/>
      <c r="IA332" s="179"/>
      <c r="IB332" s="179"/>
      <c r="IC332" s="179"/>
      <c r="ID332" s="179"/>
      <c r="IE332" s="179"/>
      <c r="IF332" s="179"/>
      <c r="IG332" s="179"/>
      <c r="IH332" s="179"/>
      <c r="II332" s="179"/>
      <c r="IJ332" s="179"/>
      <c r="IK332" s="179"/>
      <c r="IL332" s="179"/>
      <c r="IM332" s="179"/>
      <c r="IN332" s="179"/>
      <c r="IO332" s="179"/>
      <c r="IP332" s="179"/>
      <c r="IQ332" s="179"/>
    </row>
    <row r="333" spans="1:251">
      <c r="A333" s="325" t="s">
        <v>603</v>
      </c>
      <c r="B333" s="194">
        <f>B332*130*1.302*1.13</f>
        <v>88459.507499999992</v>
      </c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79"/>
      <c r="BN333" s="179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BZ333" s="179"/>
      <c r="CA333" s="179"/>
      <c r="CB333" s="179"/>
      <c r="CC333" s="179"/>
      <c r="CD333" s="179"/>
      <c r="CE333" s="179"/>
      <c r="CF333" s="179"/>
      <c r="CG333" s="179"/>
      <c r="CH333" s="179"/>
      <c r="CI333" s="179"/>
      <c r="CJ333" s="179"/>
      <c r="CK333" s="179"/>
      <c r="CL333" s="179"/>
      <c r="CM333" s="179"/>
      <c r="CN333" s="179"/>
      <c r="CO333" s="179"/>
      <c r="CP333" s="179"/>
      <c r="CQ333" s="179"/>
      <c r="CR333" s="179"/>
      <c r="CS333" s="179"/>
      <c r="CT333" s="179"/>
      <c r="CU333" s="179"/>
      <c r="CV333" s="179"/>
      <c r="CW333" s="179"/>
      <c r="CX333" s="179"/>
      <c r="CY333" s="179"/>
      <c r="CZ333" s="179"/>
      <c r="DA333" s="179"/>
      <c r="DB333" s="179"/>
      <c r="DC333" s="179"/>
      <c r="DD333" s="179"/>
      <c r="DE333" s="179"/>
      <c r="DF333" s="179"/>
      <c r="DG333" s="179"/>
      <c r="DH333" s="179"/>
      <c r="DI333" s="179"/>
      <c r="DJ333" s="179"/>
      <c r="DK333" s="179"/>
      <c r="DL333" s="179"/>
      <c r="DM333" s="179"/>
      <c r="DN333" s="179"/>
      <c r="DO333" s="179"/>
      <c r="DP333" s="179"/>
      <c r="DQ333" s="179"/>
      <c r="DR333" s="179"/>
      <c r="DS333" s="179"/>
      <c r="DT333" s="179"/>
      <c r="DU333" s="179"/>
      <c r="DV333" s="179"/>
      <c r="DW333" s="179"/>
      <c r="DX333" s="179"/>
      <c r="DY333" s="179"/>
      <c r="DZ333" s="179"/>
      <c r="EA333" s="179"/>
      <c r="EB333" s="179"/>
      <c r="EC333" s="179"/>
      <c r="ED333" s="179"/>
      <c r="EE333" s="179"/>
      <c r="EF333" s="179"/>
      <c r="EG333" s="179"/>
      <c r="EH333" s="179"/>
      <c r="EI333" s="179"/>
      <c r="EJ333" s="179"/>
      <c r="EK333" s="179"/>
      <c r="EL333" s="179"/>
      <c r="EM333" s="179"/>
      <c r="EN333" s="179"/>
      <c r="EO333" s="179"/>
      <c r="EP333" s="179"/>
      <c r="EQ333" s="179"/>
      <c r="ER333" s="179"/>
      <c r="ES333" s="179"/>
      <c r="ET333" s="179"/>
      <c r="EU333" s="179"/>
      <c r="EV333" s="179"/>
      <c r="EW333" s="179"/>
      <c r="EX333" s="179"/>
      <c r="EY333" s="179"/>
      <c r="EZ333" s="179"/>
      <c r="FA333" s="179"/>
      <c r="FB333" s="179"/>
      <c r="FC333" s="179"/>
      <c r="FD333" s="179"/>
      <c r="FE333" s="179"/>
      <c r="FF333" s="179"/>
      <c r="FG333" s="179"/>
      <c r="FH333" s="179"/>
      <c r="FI333" s="179"/>
      <c r="FJ333" s="179"/>
      <c r="FK333" s="179"/>
      <c r="FL333" s="179"/>
      <c r="FM333" s="179"/>
      <c r="FN333" s="179"/>
      <c r="FO333" s="179"/>
      <c r="FP333" s="179"/>
      <c r="FQ333" s="179"/>
      <c r="FR333" s="179"/>
      <c r="FS333" s="179"/>
      <c r="FT333" s="179"/>
      <c r="FU333" s="179"/>
      <c r="FV333" s="179"/>
      <c r="FW333" s="179"/>
      <c r="FX333" s="179"/>
      <c r="FY333" s="179"/>
      <c r="FZ333" s="179"/>
      <c r="GA333" s="179"/>
      <c r="GB333" s="179"/>
      <c r="GC333" s="179"/>
      <c r="GD333" s="179"/>
      <c r="GE333" s="179"/>
      <c r="GF333" s="179"/>
      <c r="GG333" s="179"/>
      <c r="GH333" s="179"/>
      <c r="GI333" s="179"/>
      <c r="GJ333" s="179"/>
      <c r="GK333" s="179"/>
      <c r="GL333" s="179"/>
      <c r="GM333" s="179"/>
      <c r="GN333" s="179"/>
      <c r="GO333" s="179"/>
      <c r="GP333" s="179"/>
      <c r="GQ333" s="179"/>
      <c r="GR333" s="179"/>
      <c r="GS333" s="179"/>
      <c r="GT333" s="179"/>
      <c r="GU333" s="179"/>
      <c r="GV333" s="179"/>
      <c r="GW333" s="179"/>
      <c r="GX333" s="179"/>
      <c r="GY333" s="179"/>
      <c r="GZ333" s="179"/>
      <c r="HA333" s="179"/>
      <c r="HB333" s="179"/>
      <c r="HC333" s="179"/>
      <c r="HD333" s="179"/>
      <c r="HE333" s="179"/>
      <c r="HF333" s="179"/>
      <c r="HG333" s="179"/>
      <c r="HH333" s="179"/>
      <c r="HI333" s="179"/>
      <c r="HJ333" s="179"/>
      <c r="HK333" s="179"/>
      <c r="HL333" s="179"/>
      <c r="HM333" s="179"/>
      <c r="HN333" s="179"/>
      <c r="HO333" s="179"/>
      <c r="HP333" s="179"/>
      <c r="HQ333" s="179"/>
      <c r="HR333" s="179"/>
      <c r="HS333" s="179"/>
      <c r="HT333" s="179"/>
      <c r="HU333" s="179"/>
      <c r="HV333" s="179"/>
      <c r="HW333" s="179"/>
      <c r="HX333" s="179"/>
      <c r="HY333" s="179"/>
      <c r="HZ333" s="179"/>
      <c r="IA333" s="179"/>
      <c r="IB333" s="179"/>
      <c r="IC333" s="179"/>
      <c r="ID333" s="179"/>
      <c r="IE333" s="179"/>
      <c r="IF333" s="179"/>
      <c r="IG333" s="179"/>
      <c r="IH333" s="179"/>
      <c r="II333" s="179"/>
      <c r="IJ333" s="179"/>
      <c r="IK333" s="179"/>
      <c r="IL333" s="179"/>
      <c r="IM333" s="179"/>
      <c r="IN333" s="179"/>
      <c r="IO333" s="179"/>
      <c r="IP333" s="179"/>
      <c r="IQ333" s="179"/>
    </row>
    <row r="334" spans="1:251">
      <c r="A334" s="325" t="s">
        <v>1603</v>
      </c>
      <c r="B334" s="194">
        <f>37173.49*1.13</f>
        <v>42006.043699999995</v>
      </c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79"/>
      <c r="BN334" s="179"/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BZ334" s="179"/>
      <c r="CA334" s="179"/>
      <c r="CB334" s="179"/>
      <c r="CC334" s="179"/>
      <c r="CD334" s="179"/>
      <c r="CE334" s="179"/>
      <c r="CF334" s="179"/>
      <c r="CG334" s="179"/>
      <c r="CH334" s="179"/>
      <c r="CI334" s="179"/>
      <c r="CJ334" s="179"/>
      <c r="CK334" s="179"/>
      <c r="CL334" s="179"/>
      <c r="CM334" s="179"/>
      <c r="CN334" s="179"/>
      <c r="CO334" s="179"/>
      <c r="CP334" s="179"/>
      <c r="CQ334" s="179"/>
      <c r="CR334" s="179"/>
      <c r="CS334" s="179"/>
      <c r="CT334" s="179"/>
      <c r="CU334" s="179"/>
      <c r="CV334" s="179"/>
      <c r="CW334" s="179"/>
      <c r="CX334" s="179"/>
      <c r="CY334" s="179"/>
      <c r="CZ334" s="179"/>
      <c r="DA334" s="179"/>
      <c r="DB334" s="179"/>
      <c r="DC334" s="179"/>
      <c r="DD334" s="179"/>
      <c r="DE334" s="179"/>
      <c r="DF334" s="179"/>
      <c r="DG334" s="179"/>
      <c r="DH334" s="179"/>
      <c r="DI334" s="179"/>
      <c r="DJ334" s="179"/>
      <c r="DK334" s="179"/>
      <c r="DL334" s="179"/>
      <c r="DM334" s="179"/>
      <c r="DN334" s="179"/>
      <c r="DO334" s="179"/>
      <c r="DP334" s="179"/>
      <c r="DQ334" s="179"/>
      <c r="DR334" s="179"/>
      <c r="DS334" s="179"/>
      <c r="DT334" s="179"/>
      <c r="DU334" s="179"/>
      <c r="DV334" s="179"/>
      <c r="DW334" s="179"/>
      <c r="DX334" s="179"/>
      <c r="DY334" s="179"/>
      <c r="DZ334" s="179"/>
      <c r="EA334" s="179"/>
      <c r="EB334" s="179"/>
      <c r="EC334" s="179"/>
      <c r="ED334" s="179"/>
      <c r="EE334" s="179"/>
      <c r="EF334" s="179"/>
      <c r="EG334" s="179"/>
      <c r="EH334" s="179"/>
      <c r="EI334" s="179"/>
      <c r="EJ334" s="179"/>
      <c r="EK334" s="179"/>
      <c r="EL334" s="179"/>
      <c r="EM334" s="179"/>
      <c r="EN334" s="179"/>
      <c r="EO334" s="179"/>
      <c r="EP334" s="179"/>
      <c r="EQ334" s="179"/>
      <c r="ER334" s="179"/>
      <c r="ES334" s="179"/>
      <c r="ET334" s="179"/>
      <c r="EU334" s="179"/>
      <c r="EV334" s="179"/>
      <c r="EW334" s="179"/>
      <c r="EX334" s="179"/>
      <c r="EY334" s="179"/>
      <c r="EZ334" s="179"/>
      <c r="FA334" s="179"/>
      <c r="FB334" s="179"/>
      <c r="FC334" s="179"/>
      <c r="FD334" s="179"/>
      <c r="FE334" s="179"/>
      <c r="FF334" s="179"/>
      <c r="FG334" s="179"/>
      <c r="FH334" s="179"/>
      <c r="FI334" s="179"/>
      <c r="FJ334" s="179"/>
      <c r="FK334" s="179"/>
      <c r="FL334" s="179"/>
      <c r="FM334" s="179"/>
      <c r="FN334" s="179"/>
      <c r="FO334" s="179"/>
      <c r="FP334" s="179"/>
      <c r="FQ334" s="179"/>
      <c r="FR334" s="179"/>
      <c r="FS334" s="179"/>
      <c r="FT334" s="179"/>
      <c r="FU334" s="179"/>
      <c r="FV334" s="179"/>
      <c r="FW334" s="179"/>
      <c r="FX334" s="179"/>
      <c r="FY334" s="179"/>
      <c r="FZ334" s="179"/>
      <c r="GA334" s="179"/>
      <c r="GB334" s="179"/>
      <c r="GC334" s="179"/>
      <c r="GD334" s="179"/>
      <c r="GE334" s="179"/>
      <c r="GF334" s="179"/>
      <c r="GG334" s="179"/>
      <c r="GH334" s="179"/>
      <c r="GI334" s="179"/>
      <c r="GJ334" s="179"/>
      <c r="GK334" s="179"/>
      <c r="GL334" s="179"/>
      <c r="GM334" s="179"/>
      <c r="GN334" s="179"/>
      <c r="GO334" s="179"/>
      <c r="GP334" s="179"/>
      <c r="GQ334" s="179"/>
      <c r="GR334" s="179"/>
      <c r="GS334" s="179"/>
      <c r="GT334" s="179"/>
      <c r="GU334" s="179"/>
      <c r="GV334" s="179"/>
      <c r="GW334" s="179"/>
      <c r="GX334" s="179"/>
      <c r="GY334" s="179"/>
      <c r="GZ334" s="179"/>
      <c r="HA334" s="179"/>
      <c r="HB334" s="179"/>
      <c r="HC334" s="179"/>
      <c r="HD334" s="179"/>
      <c r="HE334" s="179"/>
      <c r="HF334" s="179"/>
      <c r="HG334" s="179"/>
      <c r="HH334" s="179"/>
      <c r="HI334" s="179"/>
      <c r="HJ334" s="179"/>
      <c r="HK334" s="179"/>
      <c r="HL334" s="179"/>
      <c r="HM334" s="179"/>
      <c r="HN334" s="179"/>
      <c r="HO334" s="179"/>
      <c r="HP334" s="179"/>
      <c r="HQ334" s="179"/>
      <c r="HR334" s="179"/>
      <c r="HS334" s="179"/>
      <c r="HT334" s="179"/>
      <c r="HU334" s="179"/>
      <c r="HV334" s="179"/>
      <c r="HW334" s="179"/>
      <c r="HX334" s="179"/>
      <c r="HY334" s="179"/>
      <c r="HZ334" s="179"/>
      <c r="IA334" s="179"/>
      <c r="IB334" s="179"/>
      <c r="IC334" s="179"/>
      <c r="ID334" s="179"/>
      <c r="IE334" s="179"/>
      <c r="IF334" s="179"/>
      <c r="IG334" s="179"/>
      <c r="IH334" s="179"/>
      <c r="II334" s="179"/>
      <c r="IJ334" s="179"/>
      <c r="IK334" s="179"/>
      <c r="IL334" s="179"/>
      <c r="IM334" s="179"/>
      <c r="IN334" s="179"/>
      <c r="IO334" s="179"/>
      <c r="IP334" s="179"/>
      <c r="IQ334" s="179"/>
    </row>
    <row r="335" spans="1:251">
      <c r="A335" s="325" t="s">
        <v>724</v>
      </c>
      <c r="B335" s="194">
        <f>62445.76*1.13</f>
        <v>70563.708799999993</v>
      </c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  <c r="BD335" s="179"/>
      <c r="BE335" s="179"/>
      <c r="BF335" s="179"/>
      <c r="BG335" s="179"/>
      <c r="BH335" s="179"/>
      <c r="BI335" s="179"/>
      <c r="BJ335" s="179"/>
      <c r="BK335" s="179"/>
      <c r="BL335" s="179"/>
      <c r="BM335" s="179"/>
      <c r="BN335" s="179"/>
      <c r="BO335" s="179"/>
      <c r="BP335" s="179"/>
      <c r="BQ335" s="179"/>
      <c r="BR335" s="179"/>
      <c r="BS335" s="179"/>
      <c r="BT335" s="179"/>
      <c r="BU335" s="179"/>
      <c r="BV335" s="179"/>
      <c r="BW335" s="179"/>
      <c r="BX335" s="179"/>
      <c r="BY335" s="179"/>
      <c r="BZ335" s="179"/>
      <c r="CA335" s="179"/>
      <c r="CB335" s="179"/>
      <c r="CC335" s="179"/>
      <c r="CD335" s="179"/>
      <c r="CE335" s="179"/>
      <c r="CF335" s="179"/>
      <c r="CG335" s="179"/>
      <c r="CH335" s="179"/>
      <c r="CI335" s="179"/>
      <c r="CJ335" s="179"/>
      <c r="CK335" s="179"/>
      <c r="CL335" s="179"/>
      <c r="CM335" s="179"/>
      <c r="CN335" s="179"/>
      <c r="CO335" s="179"/>
      <c r="CP335" s="179"/>
      <c r="CQ335" s="179"/>
      <c r="CR335" s="179"/>
      <c r="CS335" s="179"/>
      <c r="CT335" s="179"/>
      <c r="CU335" s="179"/>
      <c r="CV335" s="179"/>
      <c r="CW335" s="179"/>
      <c r="CX335" s="179"/>
      <c r="CY335" s="179"/>
      <c r="CZ335" s="179"/>
      <c r="DA335" s="179"/>
      <c r="DB335" s="179"/>
      <c r="DC335" s="179"/>
      <c r="DD335" s="179"/>
      <c r="DE335" s="179"/>
      <c r="DF335" s="179"/>
      <c r="DG335" s="179"/>
      <c r="DH335" s="179"/>
      <c r="DI335" s="179"/>
      <c r="DJ335" s="179"/>
      <c r="DK335" s="179"/>
      <c r="DL335" s="179"/>
      <c r="DM335" s="179"/>
      <c r="DN335" s="179"/>
      <c r="DO335" s="179"/>
      <c r="DP335" s="179"/>
      <c r="DQ335" s="179"/>
      <c r="DR335" s="179"/>
      <c r="DS335" s="179"/>
      <c r="DT335" s="179"/>
      <c r="DU335" s="179"/>
      <c r="DV335" s="179"/>
      <c r="DW335" s="179"/>
      <c r="DX335" s="179"/>
      <c r="DY335" s="179"/>
      <c r="DZ335" s="179"/>
      <c r="EA335" s="179"/>
      <c r="EB335" s="179"/>
      <c r="EC335" s="179"/>
      <c r="ED335" s="179"/>
      <c r="EE335" s="179"/>
      <c r="EF335" s="179"/>
      <c r="EG335" s="179"/>
      <c r="EH335" s="179"/>
      <c r="EI335" s="179"/>
      <c r="EJ335" s="179"/>
      <c r="EK335" s="179"/>
      <c r="EL335" s="179"/>
      <c r="EM335" s="179"/>
      <c r="EN335" s="179"/>
      <c r="EO335" s="179"/>
      <c r="EP335" s="179"/>
      <c r="EQ335" s="179"/>
      <c r="ER335" s="179"/>
      <c r="ES335" s="179"/>
      <c r="ET335" s="179"/>
      <c r="EU335" s="179"/>
      <c r="EV335" s="179"/>
      <c r="EW335" s="179"/>
      <c r="EX335" s="179"/>
      <c r="EY335" s="179"/>
      <c r="EZ335" s="179"/>
      <c r="FA335" s="179"/>
      <c r="FB335" s="179"/>
      <c r="FC335" s="179"/>
      <c r="FD335" s="179"/>
      <c r="FE335" s="179"/>
      <c r="FF335" s="179"/>
      <c r="FG335" s="179"/>
      <c r="FH335" s="179"/>
      <c r="FI335" s="179"/>
      <c r="FJ335" s="179"/>
      <c r="FK335" s="179"/>
      <c r="FL335" s="179"/>
      <c r="FM335" s="179"/>
      <c r="FN335" s="179"/>
      <c r="FO335" s="179"/>
      <c r="FP335" s="179"/>
      <c r="FQ335" s="179"/>
      <c r="FR335" s="179"/>
      <c r="FS335" s="179"/>
      <c r="FT335" s="179"/>
      <c r="FU335" s="179"/>
      <c r="FV335" s="179"/>
      <c r="FW335" s="179"/>
      <c r="FX335" s="179"/>
      <c r="FY335" s="179"/>
      <c r="FZ335" s="179"/>
      <c r="GA335" s="179"/>
      <c r="GB335" s="179"/>
      <c r="GC335" s="179"/>
      <c r="GD335" s="179"/>
      <c r="GE335" s="179"/>
      <c r="GF335" s="179"/>
      <c r="GG335" s="179"/>
      <c r="GH335" s="179"/>
      <c r="GI335" s="179"/>
      <c r="GJ335" s="179"/>
      <c r="GK335" s="179"/>
      <c r="GL335" s="179"/>
      <c r="GM335" s="179"/>
      <c r="GN335" s="179"/>
      <c r="GO335" s="179"/>
      <c r="GP335" s="179"/>
      <c r="GQ335" s="179"/>
      <c r="GR335" s="179"/>
      <c r="GS335" s="179"/>
      <c r="GT335" s="179"/>
      <c r="GU335" s="179"/>
      <c r="GV335" s="179"/>
      <c r="GW335" s="179"/>
      <c r="GX335" s="179"/>
      <c r="GY335" s="179"/>
      <c r="GZ335" s="179"/>
      <c r="HA335" s="179"/>
      <c r="HB335" s="179"/>
      <c r="HC335" s="179"/>
      <c r="HD335" s="179"/>
      <c r="HE335" s="179"/>
      <c r="HF335" s="179"/>
      <c r="HG335" s="179"/>
      <c r="HH335" s="179"/>
      <c r="HI335" s="179"/>
      <c r="HJ335" s="179"/>
      <c r="HK335" s="179"/>
      <c r="HL335" s="179"/>
      <c r="HM335" s="179"/>
      <c r="HN335" s="179"/>
      <c r="HO335" s="179"/>
      <c r="HP335" s="179"/>
      <c r="HQ335" s="179"/>
      <c r="HR335" s="179"/>
      <c r="HS335" s="179"/>
      <c r="HT335" s="179"/>
      <c r="HU335" s="179"/>
      <c r="HV335" s="179"/>
      <c r="HW335" s="179"/>
      <c r="HX335" s="179"/>
      <c r="HY335" s="179"/>
      <c r="HZ335" s="179"/>
      <c r="IA335" s="179"/>
      <c r="IB335" s="179"/>
      <c r="IC335" s="179"/>
      <c r="ID335" s="179"/>
      <c r="IE335" s="179"/>
      <c r="IF335" s="179"/>
      <c r="IG335" s="179"/>
      <c r="IH335" s="179"/>
      <c r="II335" s="179"/>
      <c r="IJ335" s="179"/>
      <c r="IK335" s="179"/>
      <c r="IL335" s="179"/>
      <c r="IM335" s="179"/>
      <c r="IN335" s="179"/>
      <c r="IO335" s="179"/>
      <c r="IP335" s="179"/>
      <c r="IQ335" s="179"/>
    </row>
    <row r="336" spans="1:251">
      <c r="A336" s="325" t="s">
        <v>1599</v>
      </c>
      <c r="B336" s="194">
        <v>864237.1</v>
      </c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79"/>
      <c r="BH336" s="179"/>
      <c r="BI336" s="179"/>
      <c r="BJ336" s="179"/>
      <c r="BK336" s="179"/>
      <c r="BL336" s="179"/>
      <c r="BM336" s="179"/>
      <c r="BN336" s="179"/>
      <c r="BO336" s="179"/>
      <c r="BP336" s="179"/>
      <c r="BQ336" s="179"/>
      <c r="BR336" s="179"/>
      <c r="BS336" s="179"/>
      <c r="BT336" s="179"/>
      <c r="BU336" s="179"/>
      <c r="BV336" s="179"/>
      <c r="BW336" s="179"/>
      <c r="BX336" s="179"/>
      <c r="BY336" s="179"/>
      <c r="BZ336" s="179"/>
      <c r="CA336" s="179"/>
      <c r="CB336" s="179"/>
      <c r="CC336" s="179"/>
      <c r="CD336" s="179"/>
      <c r="CE336" s="179"/>
      <c r="CF336" s="179"/>
      <c r="CG336" s="179"/>
      <c r="CH336" s="179"/>
      <c r="CI336" s="179"/>
      <c r="CJ336" s="179"/>
      <c r="CK336" s="179"/>
      <c r="CL336" s="179"/>
      <c r="CM336" s="179"/>
      <c r="CN336" s="179"/>
      <c r="CO336" s="179"/>
      <c r="CP336" s="179"/>
      <c r="CQ336" s="179"/>
      <c r="CR336" s="179"/>
      <c r="CS336" s="179"/>
      <c r="CT336" s="179"/>
      <c r="CU336" s="179"/>
      <c r="CV336" s="179"/>
      <c r="CW336" s="179"/>
      <c r="CX336" s="179"/>
      <c r="CY336" s="179"/>
      <c r="CZ336" s="179"/>
      <c r="DA336" s="179"/>
      <c r="DB336" s="179"/>
      <c r="DC336" s="179"/>
      <c r="DD336" s="179"/>
      <c r="DE336" s="179"/>
      <c r="DF336" s="179"/>
      <c r="DG336" s="179"/>
      <c r="DH336" s="179"/>
      <c r="DI336" s="179"/>
      <c r="DJ336" s="179"/>
      <c r="DK336" s="179"/>
      <c r="DL336" s="179"/>
      <c r="DM336" s="179"/>
      <c r="DN336" s="179"/>
      <c r="DO336" s="179"/>
      <c r="DP336" s="179"/>
      <c r="DQ336" s="179"/>
      <c r="DR336" s="179"/>
      <c r="DS336" s="179"/>
      <c r="DT336" s="179"/>
      <c r="DU336" s="179"/>
      <c r="DV336" s="179"/>
      <c r="DW336" s="179"/>
      <c r="DX336" s="179"/>
      <c r="DY336" s="179"/>
      <c r="DZ336" s="179"/>
      <c r="EA336" s="179"/>
      <c r="EB336" s="179"/>
      <c r="EC336" s="179"/>
      <c r="ED336" s="179"/>
      <c r="EE336" s="179"/>
      <c r="EF336" s="179"/>
      <c r="EG336" s="179"/>
      <c r="EH336" s="179"/>
      <c r="EI336" s="179"/>
      <c r="EJ336" s="179"/>
      <c r="EK336" s="179"/>
      <c r="EL336" s="179"/>
      <c r="EM336" s="179"/>
      <c r="EN336" s="179"/>
      <c r="EO336" s="179"/>
      <c r="EP336" s="179"/>
      <c r="EQ336" s="179"/>
      <c r="ER336" s="179"/>
      <c r="ES336" s="179"/>
      <c r="ET336" s="179"/>
      <c r="EU336" s="179"/>
      <c r="EV336" s="179"/>
      <c r="EW336" s="179"/>
      <c r="EX336" s="179"/>
      <c r="EY336" s="179"/>
      <c r="EZ336" s="179"/>
      <c r="FA336" s="179"/>
      <c r="FB336" s="179"/>
      <c r="FC336" s="179"/>
      <c r="FD336" s="179"/>
      <c r="FE336" s="179"/>
      <c r="FF336" s="179"/>
      <c r="FG336" s="179"/>
      <c r="FH336" s="179"/>
      <c r="FI336" s="179"/>
      <c r="FJ336" s="179"/>
      <c r="FK336" s="179"/>
      <c r="FL336" s="179"/>
      <c r="FM336" s="179"/>
      <c r="FN336" s="179"/>
      <c r="FO336" s="179"/>
      <c r="FP336" s="179"/>
      <c r="FQ336" s="179"/>
      <c r="FR336" s="179"/>
      <c r="FS336" s="179"/>
      <c r="FT336" s="179"/>
      <c r="FU336" s="179"/>
      <c r="FV336" s="179"/>
      <c r="FW336" s="179"/>
      <c r="FX336" s="179"/>
      <c r="FY336" s="179"/>
      <c r="FZ336" s="179"/>
      <c r="GA336" s="179"/>
      <c r="GB336" s="179"/>
      <c r="GC336" s="179"/>
      <c r="GD336" s="179"/>
      <c r="GE336" s="179"/>
      <c r="GF336" s="179"/>
      <c r="GG336" s="179"/>
      <c r="GH336" s="179"/>
      <c r="GI336" s="179"/>
      <c r="GJ336" s="179"/>
      <c r="GK336" s="179"/>
      <c r="GL336" s="179"/>
      <c r="GM336" s="179"/>
      <c r="GN336" s="179"/>
      <c r="GO336" s="179"/>
      <c r="GP336" s="179"/>
      <c r="GQ336" s="179"/>
      <c r="GR336" s="179"/>
      <c r="GS336" s="179"/>
      <c r="GT336" s="179"/>
      <c r="GU336" s="179"/>
      <c r="GV336" s="179"/>
      <c r="GW336" s="179"/>
      <c r="GX336" s="179"/>
      <c r="GY336" s="179"/>
      <c r="GZ336" s="179"/>
      <c r="HA336" s="179"/>
      <c r="HB336" s="179"/>
      <c r="HC336" s="179"/>
      <c r="HD336" s="179"/>
      <c r="HE336" s="179"/>
      <c r="HF336" s="179"/>
      <c r="HG336" s="179"/>
      <c r="HH336" s="179"/>
      <c r="HI336" s="179"/>
      <c r="HJ336" s="179"/>
      <c r="HK336" s="179"/>
      <c r="HL336" s="179"/>
      <c r="HM336" s="179"/>
      <c r="HN336" s="179"/>
      <c r="HO336" s="179"/>
      <c r="HP336" s="179"/>
      <c r="HQ336" s="179"/>
      <c r="HR336" s="179"/>
      <c r="HS336" s="179"/>
      <c r="HT336" s="179"/>
      <c r="HU336" s="179"/>
      <c r="HV336" s="179"/>
      <c r="HW336" s="179"/>
      <c r="HX336" s="179"/>
      <c r="HY336" s="179"/>
      <c r="HZ336" s="179"/>
      <c r="IA336" s="179"/>
      <c r="IB336" s="179"/>
      <c r="IC336" s="179"/>
      <c r="ID336" s="179"/>
      <c r="IE336" s="179"/>
      <c r="IF336" s="179"/>
      <c r="IG336" s="179"/>
      <c r="IH336" s="179"/>
      <c r="II336" s="179"/>
      <c r="IJ336" s="179"/>
      <c r="IK336" s="179"/>
      <c r="IL336" s="179"/>
      <c r="IM336" s="179"/>
      <c r="IN336" s="179"/>
      <c r="IO336" s="179"/>
      <c r="IP336" s="179"/>
      <c r="IQ336" s="179"/>
    </row>
    <row r="337" spans="1:251" s="75" customFormat="1">
      <c r="A337" s="542" t="s">
        <v>2600</v>
      </c>
      <c r="B337" s="194">
        <f>B323-B325-B336</f>
        <v>-997326.81554126332</v>
      </c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  <c r="AR337" s="197"/>
      <c r="AS337" s="197"/>
      <c r="AT337" s="197"/>
      <c r="AU337" s="197"/>
      <c r="AV337" s="197"/>
      <c r="AW337" s="197"/>
      <c r="AX337" s="197"/>
      <c r="AY337" s="197"/>
      <c r="AZ337" s="197"/>
      <c r="BA337" s="197"/>
      <c r="BB337" s="197"/>
      <c r="BC337" s="197"/>
      <c r="BD337" s="197"/>
      <c r="BE337" s="197"/>
      <c r="BF337" s="197"/>
      <c r="BG337" s="197"/>
      <c r="BH337" s="197"/>
      <c r="BI337" s="197"/>
      <c r="BJ337" s="197"/>
      <c r="BK337" s="197"/>
      <c r="BL337" s="197"/>
      <c r="BM337" s="197"/>
      <c r="BN337" s="197"/>
      <c r="BO337" s="197"/>
      <c r="BP337" s="197"/>
      <c r="BQ337" s="197"/>
      <c r="BR337" s="197"/>
      <c r="BS337" s="197"/>
      <c r="BT337" s="197"/>
      <c r="BU337" s="197"/>
      <c r="BV337" s="197"/>
      <c r="BW337" s="197"/>
      <c r="BX337" s="197"/>
      <c r="BY337" s="197"/>
      <c r="BZ337" s="197"/>
      <c r="CA337" s="197"/>
      <c r="CB337" s="197"/>
      <c r="CC337" s="197"/>
      <c r="CD337" s="197"/>
      <c r="CE337" s="197"/>
      <c r="CF337" s="197"/>
      <c r="CG337" s="197"/>
      <c r="CH337" s="197"/>
      <c r="CI337" s="197"/>
      <c r="CJ337" s="197"/>
      <c r="CK337" s="197"/>
      <c r="CL337" s="197"/>
      <c r="CM337" s="197"/>
      <c r="CN337" s="197"/>
      <c r="CO337" s="197"/>
      <c r="CP337" s="197"/>
      <c r="CQ337" s="197"/>
      <c r="CR337" s="197"/>
      <c r="CS337" s="197"/>
      <c r="CT337" s="197"/>
      <c r="CU337" s="197"/>
      <c r="CV337" s="197"/>
      <c r="CW337" s="197"/>
      <c r="CX337" s="197"/>
      <c r="CY337" s="197"/>
      <c r="CZ337" s="197"/>
      <c r="DA337" s="197"/>
      <c r="DB337" s="197"/>
      <c r="DC337" s="197"/>
      <c r="DD337" s="197"/>
      <c r="DE337" s="197"/>
      <c r="DF337" s="197"/>
      <c r="DG337" s="197"/>
      <c r="DH337" s="197"/>
      <c r="DI337" s="197"/>
      <c r="DJ337" s="197"/>
      <c r="DK337" s="197"/>
      <c r="DL337" s="197"/>
      <c r="DM337" s="197"/>
      <c r="DN337" s="197"/>
      <c r="DO337" s="197"/>
      <c r="DP337" s="197"/>
      <c r="DQ337" s="197"/>
      <c r="DR337" s="197"/>
      <c r="DS337" s="197"/>
      <c r="DT337" s="197"/>
      <c r="DU337" s="197"/>
      <c r="DV337" s="197"/>
      <c r="DW337" s="197"/>
      <c r="DX337" s="197"/>
      <c r="DY337" s="197"/>
      <c r="DZ337" s="197"/>
      <c r="EA337" s="197"/>
      <c r="EB337" s="197"/>
      <c r="EC337" s="197"/>
      <c r="ED337" s="197"/>
      <c r="EE337" s="197"/>
      <c r="EF337" s="197"/>
      <c r="EG337" s="197"/>
      <c r="EH337" s="197"/>
      <c r="EI337" s="197"/>
      <c r="EJ337" s="197"/>
      <c r="EK337" s="197"/>
      <c r="EL337" s="197"/>
      <c r="EM337" s="197"/>
      <c r="EN337" s="197"/>
      <c r="EO337" s="197"/>
      <c r="EP337" s="197"/>
      <c r="EQ337" s="197"/>
      <c r="ER337" s="197"/>
      <c r="ES337" s="197"/>
      <c r="ET337" s="197"/>
      <c r="EU337" s="197"/>
      <c r="EV337" s="197"/>
      <c r="EW337" s="197"/>
      <c r="EX337" s="197"/>
      <c r="EY337" s="197"/>
      <c r="EZ337" s="197"/>
      <c r="FA337" s="197"/>
      <c r="FB337" s="197"/>
      <c r="FC337" s="197"/>
      <c r="FD337" s="197"/>
      <c r="FE337" s="197"/>
      <c r="FF337" s="197"/>
      <c r="FG337" s="197"/>
      <c r="FH337" s="197"/>
      <c r="FI337" s="197"/>
      <c r="FJ337" s="197"/>
      <c r="FK337" s="197"/>
      <c r="FL337" s="197"/>
      <c r="FM337" s="197"/>
      <c r="FN337" s="197"/>
      <c r="FO337" s="197"/>
      <c r="FP337" s="197"/>
      <c r="FQ337" s="197"/>
      <c r="FR337" s="197"/>
      <c r="FS337" s="197"/>
      <c r="FT337" s="197"/>
      <c r="FU337" s="197"/>
      <c r="FV337" s="197"/>
      <c r="FW337" s="197"/>
      <c r="FX337" s="197"/>
      <c r="FY337" s="197"/>
      <c r="FZ337" s="197"/>
      <c r="GA337" s="197"/>
      <c r="GB337" s="197"/>
      <c r="GC337" s="197"/>
      <c r="GD337" s="197"/>
      <c r="GE337" s="197"/>
      <c r="GF337" s="197"/>
      <c r="GG337" s="197"/>
      <c r="GH337" s="197"/>
      <c r="GI337" s="197"/>
      <c r="GJ337" s="197"/>
      <c r="GK337" s="197"/>
      <c r="GL337" s="197"/>
      <c r="GM337" s="197"/>
      <c r="GN337" s="197"/>
      <c r="GO337" s="197"/>
      <c r="GP337" s="197"/>
      <c r="GQ337" s="197"/>
      <c r="GR337" s="197"/>
      <c r="GS337" s="197"/>
      <c r="GT337" s="197"/>
      <c r="GU337" s="197"/>
      <c r="GV337" s="197"/>
      <c r="GW337" s="197"/>
      <c r="GX337" s="197"/>
      <c r="GY337" s="197"/>
      <c r="GZ337" s="197"/>
      <c r="HA337" s="197"/>
      <c r="HB337" s="197"/>
      <c r="HC337" s="197"/>
      <c r="HD337" s="197"/>
      <c r="HE337" s="197"/>
      <c r="HF337" s="197"/>
      <c r="HG337" s="197"/>
      <c r="HH337" s="197"/>
      <c r="HI337" s="197"/>
      <c r="HJ337" s="197"/>
      <c r="HK337" s="197"/>
      <c r="HL337" s="197"/>
      <c r="HM337" s="197"/>
      <c r="HN337" s="197"/>
      <c r="HO337" s="197"/>
      <c r="HP337" s="197"/>
      <c r="HQ337" s="197"/>
      <c r="HR337" s="197"/>
      <c r="HS337" s="197"/>
      <c r="HT337" s="197"/>
      <c r="HU337" s="197"/>
      <c r="HV337" s="197"/>
      <c r="HW337" s="197"/>
      <c r="HX337" s="197"/>
      <c r="HY337" s="197"/>
      <c r="HZ337" s="197"/>
      <c r="IA337" s="197"/>
      <c r="IB337" s="197"/>
      <c r="IC337" s="197"/>
      <c r="ID337" s="197"/>
      <c r="IE337" s="197"/>
      <c r="IF337" s="197"/>
      <c r="IG337" s="197"/>
      <c r="IH337" s="197"/>
      <c r="II337" s="197"/>
      <c r="IJ337" s="197"/>
      <c r="IK337" s="197"/>
      <c r="IL337" s="197"/>
      <c r="IM337" s="197"/>
      <c r="IN337" s="197"/>
    </row>
    <row r="338" spans="1:251" s="75" customFormat="1">
      <c r="A338" s="567"/>
      <c r="B338" s="197"/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97"/>
      <c r="AY338" s="197"/>
      <c r="AZ338" s="197"/>
      <c r="BA338" s="197"/>
      <c r="BB338" s="197"/>
      <c r="BC338" s="197"/>
      <c r="BD338" s="197"/>
      <c r="BE338" s="197"/>
      <c r="BF338" s="197"/>
      <c r="BG338" s="197"/>
      <c r="BH338" s="197"/>
      <c r="BI338" s="197"/>
      <c r="BJ338" s="197"/>
      <c r="BK338" s="197"/>
      <c r="BL338" s="197"/>
      <c r="BM338" s="197"/>
      <c r="BN338" s="197"/>
      <c r="BO338" s="197"/>
      <c r="BP338" s="197"/>
      <c r="BQ338" s="197"/>
      <c r="BR338" s="197"/>
      <c r="BS338" s="197"/>
      <c r="BT338" s="197"/>
      <c r="BU338" s="197"/>
      <c r="BV338" s="197"/>
      <c r="BW338" s="197"/>
      <c r="BX338" s="197"/>
      <c r="BY338" s="197"/>
      <c r="BZ338" s="197"/>
      <c r="CA338" s="197"/>
      <c r="CB338" s="197"/>
      <c r="CC338" s="197"/>
      <c r="CD338" s="197"/>
      <c r="CE338" s="197"/>
      <c r="CF338" s="197"/>
      <c r="CG338" s="197"/>
      <c r="CH338" s="197"/>
      <c r="CI338" s="197"/>
      <c r="CJ338" s="197"/>
      <c r="CK338" s="197"/>
      <c r="CL338" s="197"/>
      <c r="CM338" s="197"/>
      <c r="CN338" s="197"/>
      <c r="CO338" s="197"/>
      <c r="CP338" s="197"/>
      <c r="CQ338" s="197"/>
      <c r="CR338" s="197"/>
      <c r="CS338" s="197"/>
      <c r="CT338" s="197"/>
      <c r="CU338" s="197"/>
      <c r="CV338" s="197"/>
      <c r="CW338" s="197"/>
      <c r="CX338" s="197"/>
      <c r="CY338" s="197"/>
      <c r="CZ338" s="197"/>
      <c r="DA338" s="197"/>
      <c r="DB338" s="197"/>
      <c r="DC338" s="197"/>
      <c r="DD338" s="197"/>
      <c r="DE338" s="197"/>
      <c r="DF338" s="197"/>
      <c r="DG338" s="197"/>
      <c r="DH338" s="197"/>
      <c r="DI338" s="197"/>
      <c r="DJ338" s="197"/>
      <c r="DK338" s="197"/>
      <c r="DL338" s="197"/>
      <c r="DM338" s="197"/>
      <c r="DN338" s="197"/>
      <c r="DO338" s="197"/>
      <c r="DP338" s="197"/>
      <c r="DQ338" s="197"/>
      <c r="DR338" s="197"/>
      <c r="DS338" s="197"/>
      <c r="DT338" s="197"/>
      <c r="DU338" s="197"/>
      <c r="DV338" s="197"/>
      <c r="DW338" s="197"/>
      <c r="DX338" s="197"/>
      <c r="DY338" s="197"/>
      <c r="DZ338" s="197"/>
      <c r="EA338" s="197"/>
      <c r="EB338" s="197"/>
      <c r="EC338" s="197"/>
      <c r="ED338" s="197"/>
      <c r="EE338" s="197"/>
      <c r="EF338" s="197"/>
      <c r="EG338" s="197"/>
      <c r="EH338" s="197"/>
      <c r="EI338" s="197"/>
      <c r="EJ338" s="197"/>
      <c r="EK338" s="197"/>
      <c r="EL338" s="197"/>
      <c r="EM338" s="197"/>
      <c r="EN338" s="197"/>
      <c r="EO338" s="197"/>
      <c r="EP338" s="197"/>
      <c r="EQ338" s="197"/>
      <c r="ER338" s="197"/>
      <c r="ES338" s="197"/>
      <c r="ET338" s="197"/>
      <c r="EU338" s="197"/>
      <c r="EV338" s="197"/>
      <c r="EW338" s="197"/>
      <c r="EX338" s="197"/>
      <c r="EY338" s="197"/>
      <c r="EZ338" s="197"/>
      <c r="FA338" s="197"/>
      <c r="FB338" s="197"/>
      <c r="FC338" s="197"/>
      <c r="FD338" s="197"/>
      <c r="FE338" s="197"/>
      <c r="FF338" s="197"/>
      <c r="FG338" s="197"/>
      <c r="FH338" s="197"/>
      <c r="FI338" s="197"/>
      <c r="FJ338" s="197"/>
      <c r="FK338" s="197"/>
      <c r="FL338" s="197"/>
      <c r="FM338" s="197"/>
      <c r="FN338" s="197"/>
      <c r="FO338" s="197"/>
      <c r="FP338" s="197"/>
      <c r="FQ338" s="197"/>
      <c r="FR338" s="197"/>
      <c r="FS338" s="197"/>
      <c r="FT338" s="197"/>
      <c r="FU338" s="197"/>
      <c r="FV338" s="197"/>
      <c r="FW338" s="197"/>
      <c r="FX338" s="197"/>
      <c r="FY338" s="197"/>
      <c r="FZ338" s="197"/>
      <c r="GA338" s="197"/>
      <c r="GB338" s="197"/>
      <c r="GC338" s="197"/>
      <c r="GD338" s="197"/>
      <c r="GE338" s="197"/>
      <c r="GF338" s="197"/>
      <c r="GG338" s="197"/>
      <c r="GH338" s="197"/>
      <c r="GI338" s="197"/>
      <c r="GJ338" s="197"/>
      <c r="GK338" s="197"/>
      <c r="GL338" s="197"/>
      <c r="GM338" s="197"/>
      <c r="GN338" s="197"/>
      <c r="GO338" s="197"/>
      <c r="GP338" s="197"/>
      <c r="GQ338" s="197"/>
      <c r="GR338" s="197"/>
      <c r="GS338" s="197"/>
      <c r="GT338" s="197"/>
      <c r="GU338" s="197"/>
      <c r="GV338" s="197"/>
      <c r="GW338" s="197"/>
      <c r="GX338" s="197"/>
      <c r="GY338" s="197"/>
      <c r="GZ338" s="197"/>
      <c r="HA338" s="197"/>
      <c r="HB338" s="197"/>
      <c r="HC338" s="197"/>
      <c r="HD338" s="197"/>
      <c r="HE338" s="197"/>
      <c r="HF338" s="197"/>
      <c r="HG338" s="197"/>
      <c r="HH338" s="197"/>
      <c r="HI338" s="197"/>
      <c r="HJ338" s="197"/>
      <c r="HK338" s="197"/>
      <c r="HL338" s="197"/>
      <c r="HM338" s="197"/>
      <c r="HN338" s="197"/>
      <c r="HO338" s="197"/>
      <c r="HP338" s="197"/>
      <c r="HQ338" s="197"/>
      <c r="HR338" s="197"/>
      <c r="HS338" s="197"/>
      <c r="HT338" s="197"/>
      <c r="HU338" s="197"/>
      <c r="HV338" s="197"/>
      <c r="HW338" s="197"/>
      <c r="HX338" s="197"/>
      <c r="HY338" s="197"/>
      <c r="HZ338" s="197"/>
      <c r="IA338" s="197"/>
      <c r="IB338" s="197"/>
      <c r="IC338" s="197"/>
      <c r="ID338" s="197"/>
      <c r="IE338" s="197"/>
      <c r="IF338" s="197"/>
      <c r="IG338" s="197"/>
      <c r="IH338" s="197"/>
      <c r="II338" s="197"/>
      <c r="IJ338" s="197"/>
      <c r="IK338" s="197"/>
      <c r="IL338" s="197"/>
      <c r="IM338" s="197"/>
      <c r="IN338" s="197"/>
    </row>
    <row r="339" spans="1:251">
      <c r="A339" s="566" t="s">
        <v>605</v>
      </c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  <c r="AA339" s="179"/>
      <c r="AB339" s="179"/>
      <c r="AC339" s="179"/>
      <c r="AD339" s="179"/>
      <c r="AE339" s="179"/>
      <c r="AF339" s="179"/>
      <c r="AG339" s="179"/>
      <c r="AH339" s="179"/>
      <c r="AI339" s="179"/>
      <c r="AJ339" s="179"/>
      <c r="AK339" s="179"/>
      <c r="AL339" s="179"/>
      <c r="AM339" s="179"/>
      <c r="AN339" s="179"/>
      <c r="AO339" s="179"/>
      <c r="AP339" s="179"/>
      <c r="AQ339" s="179"/>
      <c r="AR339" s="179"/>
      <c r="AS339" s="179"/>
      <c r="AT339" s="179"/>
      <c r="AU339" s="179"/>
      <c r="AV339" s="179"/>
      <c r="AW339" s="179"/>
      <c r="AX339" s="179"/>
      <c r="AY339" s="179"/>
      <c r="AZ339" s="179"/>
      <c r="BA339" s="179"/>
      <c r="BB339" s="179"/>
      <c r="BC339" s="179"/>
      <c r="BD339" s="179"/>
      <c r="BE339" s="179"/>
      <c r="BF339" s="179"/>
      <c r="BG339" s="179"/>
      <c r="BH339" s="179"/>
      <c r="BI339" s="179"/>
      <c r="BJ339" s="179"/>
      <c r="BK339" s="179"/>
      <c r="BL339" s="179"/>
      <c r="BM339" s="179"/>
      <c r="BN339" s="179"/>
      <c r="BO339" s="179"/>
      <c r="BP339" s="179"/>
      <c r="BQ339" s="179"/>
      <c r="BR339" s="179"/>
      <c r="BS339" s="179"/>
      <c r="BT339" s="179"/>
      <c r="BU339" s="179"/>
      <c r="BV339" s="179"/>
      <c r="BW339" s="179"/>
      <c r="BX339" s="179"/>
      <c r="BY339" s="179"/>
      <c r="BZ339" s="179"/>
      <c r="CA339" s="179"/>
      <c r="CB339" s="179"/>
      <c r="CC339" s="179"/>
      <c r="CD339" s="179"/>
      <c r="CE339" s="179"/>
      <c r="CF339" s="179"/>
      <c r="CG339" s="179"/>
      <c r="CH339" s="179"/>
      <c r="CI339" s="179"/>
      <c r="CJ339" s="179"/>
      <c r="CK339" s="179"/>
      <c r="CL339" s="179"/>
      <c r="CM339" s="179"/>
      <c r="CN339" s="179"/>
      <c r="CO339" s="179"/>
      <c r="CP339" s="179"/>
      <c r="CQ339" s="179"/>
      <c r="CR339" s="179"/>
      <c r="CS339" s="179"/>
      <c r="CT339" s="179"/>
      <c r="CU339" s="179"/>
      <c r="CV339" s="179"/>
      <c r="CW339" s="179"/>
      <c r="CX339" s="179"/>
      <c r="CY339" s="179"/>
      <c r="CZ339" s="179"/>
      <c r="DA339" s="179"/>
      <c r="DB339" s="179"/>
      <c r="DC339" s="179"/>
      <c r="DD339" s="179"/>
      <c r="DE339" s="179"/>
      <c r="DF339" s="179"/>
      <c r="DG339" s="179"/>
      <c r="DH339" s="179"/>
      <c r="DI339" s="179"/>
      <c r="DJ339" s="179"/>
      <c r="DK339" s="179"/>
      <c r="DL339" s="179"/>
      <c r="DM339" s="179"/>
      <c r="DN339" s="179"/>
      <c r="DO339" s="179"/>
      <c r="DP339" s="179"/>
      <c r="DQ339" s="179"/>
      <c r="DR339" s="179"/>
      <c r="DS339" s="179"/>
      <c r="DT339" s="179"/>
      <c r="DU339" s="179"/>
      <c r="DV339" s="179"/>
      <c r="DW339" s="179"/>
      <c r="DX339" s="179"/>
      <c r="DY339" s="179"/>
      <c r="DZ339" s="179"/>
      <c r="EA339" s="179"/>
      <c r="EB339" s="179"/>
      <c r="EC339" s="179"/>
      <c r="ED339" s="179"/>
      <c r="EE339" s="179"/>
      <c r="EF339" s="179"/>
      <c r="EG339" s="179"/>
      <c r="EH339" s="179"/>
      <c r="EI339" s="179"/>
      <c r="EJ339" s="179"/>
      <c r="EK339" s="179"/>
      <c r="EL339" s="179"/>
      <c r="EM339" s="179"/>
      <c r="EN339" s="179"/>
      <c r="EO339" s="179"/>
      <c r="EP339" s="179"/>
      <c r="EQ339" s="179"/>
      <c r="ER339" s="179"/>
      <c r="ES339" s="179"/>
      <c r="ET339" s="179"/>
      <c r="EU339" s="179"/>
      <c r="EV339" s="179"/>
      <c r="EW339" s="179"/>
      <c r="EX339" s="179"/>
      <c r="EY339" s="179"/>
      <c r="EZ339" s="179"/>
      <c r="FA339" s="179"/>
      <c r="FB339" s="179"/>
      <c r="FC339" s="179"/>
      <c r="FD339" s="179"/>
      <c r="FE339" s="179"/>
      <c r="FF339" s="179"/>
      <c r="FG339" s="179"/>
      <c r="FH339" s="179"/>
      <c r="FI339" s="179"/>
      <c r="FJ339" s="179"/>
      <c r="FK339" s="179"/>
      <c r="FL339" s="179"/>
      <c r="FM339" s="179"/>
      <c r="FN339" s="179"/>
      <c r="FO339" s="179"/>
      <c r="FP339" s="179"/>
      <c r="FQ339" s="179"/>
      <c r="FR339" s="179"/>
      <c r="FS339" s="179"/>
      <c r="FT339" s="179"/>
      <c r="FU339" s="179"/>
      <c r="FV339" s="179"/>
      <c r="FW339" s="179"/>
      <c r="FX339" s="179"/>
      <c r="FY339" s="179"/>
      <c r="FZ339" s="179"/>
      <c r="GA339" s="179"/>
      <c r="GB339" s="179"/>
      <c r="GC339" s="179"/>
      <c r="GD339" s="179"/>
      <c r="GE339" s="179"/>
      <c r="GF339" s="179"/>
      <c r="GG339" s="179"/>
      <c r="GH339" s="179"/>
      <c r="GI339" s="179"/>
      <c r="GJ339" s="179"/>
      <c r="GK339" s="179"/>
      <c r="GL339" s="179"/>
      <c r="GM339" s="179"/>
      <c r="GN339" s="179"/>
      <c r="GO339" s="179"/>
      <c r="GP339" s="179"/>
      <c r="GQ339" s="179"/>
      <c r="GR339" s="179"/>
      <c r="GS339" s="179"/>
      <c r="GT339" s="179"/>
      <c r="GU339" s="179"/>
      <c r="GV339" s="179"/>
      <c r="GW339" s="179"/>
      <c r="GX339" s="179"/>
      <c r="GY339" s="179"/>
      <c r="GZ339" s="179"/>
      <c r="HA339" s="179"/>
      <c r="HB339" s="179"/>
      <c r="HC339" s="179"/>
      <c r="HD339" s="179"/>
      <c r="HE339" s="179"/>
      <c r="HF339" s="179"/>
      <c r="HG339" s="179"/>
      <c r="HH339" s="179"/>
      <c r="HI339" s="179"/>
      <c r="HJ339" s="179"/>
      <c r="HK339" s="179"/>
      <c r="HL339" s="179"/>
      <c r="HM339" s="179"/>
      <c r="HN339" s="179"/>
      <c r="HO339" s="179"/>
      <c r="HP339" s="179"/>
      <c r="HQ339" s="179"/>
      <c r="HR339" s="179"/>
      <c r="HS339" s="179"/>
      <c r="HT339" s="179"/>
      <c r="HU339" s="179"/>
      <c r="HV339" s="179"/>
      <c r="HW339" s="179"/>
      <c r="HX339" s="179"/>
      <c r="HY339" s="179"/>
      <c r="HZ339" s="179"/>
      <c r="IA339" s="179"/>
      <c r="IB339" s="179"/>
      <c r="IC339" s="179"/>
      <c r="ID339" s="179"/>
      <c r="IE339" s="179"/>
      <c r="IF339" s="179"/>
      <c r="IG339" s="179"/>
      <c r="IH339" s="179"/>
      <c r="II339" s="179"/>
      <c r="IJ339" s="179"/>
      <c r="IK339" s="179"/>
      <c r="IL339" s="179"/>
      <c r="IM339" s="179"/>
      <c r="IN339" s="179"/>
      <c r="IO339" s="179"/>
      <c r="IP339" s="179"/>
      <c r="IQ339" s="179"/>
    </row>
    <row r="341" spans="1:251">
      <c r="A341" s="321" t="s">
        <v>519</v>
      </c>
      <c r="B341">
        <f>B316*5.94*12</f>
        <v>166666.89600000001</v>
      </c>
    </row>
    <row r="344" spans="1:251">
      <c r="A344" s="75"/>
      <c r="B344" s="75"/>
    </row>
    <row r="345" spans="1:251">
      <c r="A345" s="75"/>
      <c r="B345" s="75"/>
    </row>
    <row r="346" spans="1:251">
      <c r="A346" s="75"/>
      <c r="B346" s="75"/>
    </row>
    <row r="347" spans="1:251">
      <c r="A347" s="75"/>
      <c r="B347" s="75"/>
    </row>
    <row r="348" spans="1:251">
      <c r="A348" s="75"/>
      <c r="B348" s="75"/>
    </row>
    <row r="349" spans="1:251">
      <c r="A349" s="75"/>
      <c r="B349" s="75"/>
    </row>
    <row r="350" spans="1:251">
      <c r="A350" s="75"/>
      <c r="B350" s="75"/>
    </row>
    <row r="351" spans="1:251">
      <c r="A351" s="75"/>
      <c r="B351" s="75"/>
    </row>
    <row r="352" spans="1:251">
      <c r="A352" s="75"/>
      <c r="B352" s="75"/>
    </row>
    <row r="353" spans="1:2">
      <c r="A353" s="75"/>
      <c r="B353" s="75"/>
    </row>
    <row r="354" spans="1:2">
      <c r="A354" s="75"/>
      <c r="B354" s="75"/>
    </row>
    <row r="355" spans="1:2">
      <c r="A355" s="75"/>
      <c r="B355" s="75"/>
    </row>
    <row r="356" spans="1:2">
      <c r="A356" s="75"/>
      <c r="B356" s="75"/>
    </row>
    <row r="357" spans="1:2">
      <c r="A357" s="75"/>
      <c r="B357" s="75"/>
    </row>
    <row r="358" spans="1:2">
      <c r="A358" s="75"/>
      <c r="B358" s="75"/>
    </row>
    <row r="359" spans="1:2">
      <c r="A359" s="75"/>
      <c r="B359" s="75"/>
    </row>
    <row r="360" spans="1:2">
      <c r="A360" s="75"/>
      <c r="B360" s="75"/>
    </row>
    <row r="361" spans="1:2">
      <c r="A361" s="75"/>
      <c r="B361" s="75"/>
    </row>
    <row r="362" spans="1:2">
      <c r="A362" s="75"/>
      <c r="B362" s="75"/>
    </row>
    <row r="363" spans="1:2">
      <c r="A363" s="75"/>
      <c r="B363" s="75"/>
    </row>
    <row r="364" spans="1:2">
      <c r="A364" s="75"/>
      <c r="B364" s="75"/>
    </row>
    <row r="365" spans="1:2">
      <c r="A365" s="75"/>
      <c r="B365" s="75"/>
    </row>
    <row r="366" spans="1:2">
      <c r="A366" s="75"/>
      <c r="B366" s="75"/>
    </row>
    <row r="367" spans="1:2">
      <c r="A367" s="75"/>
      <c r="B367" s="75"/>
    </row>
    <row r="368" spans="1:2">
      <c r="A368" s="75"/>
      <c r="B368" s="75"/>
    </row>
    <row r="369" spans="1:2">
      <c r="A369" s="75"/>
      <c r="B369" s="75"/>
    </row>
    <row r="370" spans="1:2">
      <c r="A370" s="75"/>
      <c r="B370" s="75"/>
    </row>
    <row r="371" spans="1:2">
      <c r="A371" s="75"/>
      <c r="B371" s="75"/>
    </row>
    <row r="372" spans="1:2">
      <c r="A372" s="75"/>
      <c r="B372" s="75"/>
    </row>
    <row r="373" spans="1:2">
      <c r="A373" s="75"/>
      <c r="B373" s="75"/>
    </row>
    <row r="374" spans="1:2">
      <c r="A374" s="75"/>
      <c r="B374" s="75"/>
    </row>
    <row r="375" spans="1:2">
      <c r="A375" s="75"/>
      <c r="B375" s="75"/>
    </row>
    <row r="376" spans="1:2">
      <c r="A376" s="75"/>
      <c r="B376" s="75"/>
    </row>
    <row r="377" spans="1:2">
      <c r="A377" s="75"/>
      <c r="B377" s="75"/>
    </row>
    <row r="378" spans="1:2">
      <c r="A378" s="75"/>
      <c r="B378" s="75"/>
    </row>
    <row r="379" spans="1:2">
      <c r="A379" s="75"/>
      <c r="B379" s="75"/>
    </row>
    <row r="380" spans="1:2">
      <c r="A380" s="75"/>
      <c r="B380" s="75"/>
    </row>
    <row r="381" spans="1:2">
      <c r="A381" s="75"/>
      <c r="B381" s="75"/>
    </row>
    <row r="382" spans="1:2">
      <c r="A382" s="75"/>
      <c r="B382" s="75"/>
    </row>
    <row r="383" spans="1:2">
      <c r="A383" s="75"/>
      <c r="B383" s="75"/>
    </row>
    <row r="384" spans="1:2">
      <c r="A384" s="75"/>
      <c r="B384" s="75"/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0"/>
  <sheetViews>
    <sheetView topLeftCell="A115" workbookViewId="0">
      <selection activeCell="A122" sqref="A122:B146"/>
    </sheetView>
  </sheetViews>
  <sheetFormatPr defaultRowHeight="15"/>
  <cols>
    <col min="1" max="1" width="87.85546875" customWidth="1"/>
    <col min="2" max="2" width="22.28515625" customWidth="1"/>
  </cols>
  <sheetData>
    <row r="1" spans="1:2" s="73" customFormat="1" ht="15.75">
      <c r="A1" s="701" t="s">
        <v>230</v>
      </c>
      <c r="B1" s="701"/>
    </row>
    <row r="2" spans="1:2" s="73" customFormat="1" ht="15.75">
      <c r="A2" s="702" t="s">
        <v>245</v>
      </c>
      <c r="B2" s="702"/>
    </row>
    <row r="3" spans="1:2" s="86" customFormat="1" ht="15.75">
      <c r="A3" s="702" t="s">
        <v>2756</v>
      </c>
      <c r="B3" s="702"/>
    </row>
    <row r="4" spans="1:2" s="55" customFormat="1" ht="15.75">
      <c r="A4" s="126"/>
      <c r="B4" s="74"/>
    </row>
    <row r="5" spans="1:2" ht="46.5" customHeight="1">
      <c r="A5" s="611" t="s">
        <v>229</v>
      </c>
      <c r="B5" s="82" t="s">
        <v>523</v>
      </c>
    </row>
    <row r="6" spans="1:2" s="73" customFormat="1">
      <c r="A6" s="224" t="s">
        <v>229</v>
      </c>
      <c r="B6" s="72"/>
    </row>
    <row r="7" spans="1:2" s="73" customFormat="1">
      <c r="A7" s="191" t="s">
        <v>0</v>
      </c>
      <c r="B7" s="72"/>
    </row>
    <row r="8" spans="1:2" s="73" customFormat="1" ht="15.75" thickBot="1">
      <c r="A8" s="617" t="s">
        <v>29</v>
      </c>
      <c r="B8" s="72"/>
    </row>
    <row r="9" spans="1:2" s="73" customFormat="1" ht="15.75" thickBot="1">
      <c r="A9" s="616" t="s">
        <v>56</v>
      </c>
      <c r="B9" s="72"/>
    </row>
    <row r="10" spans="1:2" s="73" customFormat="1" ht="15.75" thickBot="1">
      <c r="A10" s="614" t="s">
        <v>57</v>
      </c>
      <c r="B10" s="72"/>
    </row>
    <row r="11" spans="1:2" s="73" customFormat="1" ht="29.25" thickBot="1">
      <c r="A11" s="612" t="s">
        <v>2936</v>
      </c>
      <c r="B11" s="72">
        <v>4</v>
      </c>
    </row>
    <row r="12" spans="1:2" s="73" customFormat="1" ht="15.75" thickBot="1">
      <c r="A12" s="540" t="s">
        <v>2934</v>
      </c>
      <c r="B12" s="72">
        <v>2</v>
      </c>
    </row>
    <row r="13" spans="1:2" s="73" customFormat="1" ht="15.75" thickBot="1">
      <c r="A13" s="132" t="s">
        <v>2935</v>
      </c>
      <c r="B13" s="72">
        <v>4</v>
      </c>
    </row>
    <row r="14" spans="1:2" s="73" customFormat="1">
      <c r="A14" s="608" t="s">
        <v>2962</v>
      </c>
      <c r="B14" s="72">
        <v>6</v>
      </c>
    </row>
    <row r="15" spans="1:2" s="73" customFormat="1">
      <c r="A15" s="400" t="s">
        <v>2974</v>
      </c>
      <c r="B15" s="72">
        <v>4</v>
      </c>
    </row>
    <row r="16" spans="1:2" s="73" customFormat="1">
      <c r="A16" s="615" t="s">
        <v>2989</v>
      </c>
      <c r="B16" s="72">
        <v>8</v>
      </c>
    </row>
    <row r="17" spans="1:2" s="73" customFormat="1" ht="15" customHeight="1">
      <c r="A17" s="615" t="s">
        <v>2990</v>
      </c>
      <c r="B17" s="72">
        <v>4</v>
      </c>
    </row>
    <row r="18" spans="1:2" s="73" customFormat="1">
      <c r="A18" s="191" t="s">
        <v>66</v>
      </c>
      <c r="B18" s="72"/>
    </row>
    <row r="19" spans="1:2" s="73" customFormat="1" ht="28.5">
      <c r="A19" s="267" t="s">
        <v>2955</v>
      </c>
      <c r="B19" s="72"/>
    </row>
    <row r="20" spans="1:2" s="73" customFormat="1" ht="30" customHeight="1">
      <c r="A20" s="97" t="s">
        <v>2952</v>
      </c>
      <c r="B20" s="72">
        <v>1</v>
      </c>
    </row>
    <row r="21" spans="1:2" s="73" customFormat="1" ht="15" customHeight="1">
      <c r="A21" s="84" t="s">
        <v>2963</v>
      </c>
      <c r="B21" s="72">
        <v>2</v>
      </c>
    </row>
    <row r="22" spans="1:2" s="73" customFormat="1" ht="28.5">
      <c r="A22" s="97" t="s">
        <v>2975</v>
      </c>
      <c r="B22" s="72">
        <v>6</v>
      </c>
    </row>
    <row r="23" spans="1:2" s="73" customFormat="1">
      <c r="A23" s="84" t="s">
        <v>2976</v>
      </c>
      <c r="B23" s="72">
        <v>1</v>
      </c>
    </row>
    <row r="24" spans="1:2" s="73" customFormat="1" ht="33" customHeight="1">
      <c r="A24" s="97" t="s">
        <v>2984</v>
      </c>
      <c r="B24" s="72">
        <v>4</v>
      </c>
    </row>
    <row r="25" spans="1:2" s="73" customFormat="1" ht="15" customHeight="1">
      <c r="A25" s="84" t="s">
        <v>2991</v>
      </c>
      <c r="B25" s="72">
        <v>8</v>
      </c>
    </row>
    <row r="26" spans="1:2" s="73" customFormat="1" ht="15" customHeight="1">
      <c r="A26" s="84" t="s">
        <v>2992</v>
      </c>
      <c r="B26" s="72">
        <v>2</v>
      </c>
    </row>
    <row r="27" spans="1:2" s="73" customFormat="1" ht="15" customHeight="1">
      <c r="A27" s="84" t="s">
        <v>2998</v>
      </c>
      <c r="B27" s="72">
        <v>2</v>
      </c>
    </row>
    <row r="28" spans="1:2" s="73" customFormat="1" ht="15" customHeight="1">
      <c r="A28" s="84" t="s">
        <v>2999</v>
      </c>
      <c r="B28" s="72">
        <v>4</v>
      </c>
    </row>
    <row r="29" spans="1:2" s="73" customFormat="1" ht="15" customHeight="1">
      <c r="A29" s="138" t="s">
        <v>3002</v>
      </c>
      <c r="B29" s="72">
        <v>4</v>
      </c>
    </row>
    <row r="30" spans="1:2" s="73" customFormat="1">
      <c r="A30" s="84" t="s">
        <v>3016</v>
      </c>
      <c r="B30" s="72">
        <v>2</v>
      </c>
    </row>
    <row r="31" spans="1:2" s="73" customFormat="1">
      <c r="A31" s="617" t="s">
        <v>590</v>
      </c>
      <c r="B31" s="72"/>
    </row>
    <row r="32" spans="1:2" s="73" customFormat="1">
      <c r="A32" s="400" t="s">
        <v>2759</v>
      </c>
      <c r="B32" s="72">
        <v>1</v>
      </c>
    </row>
    <row r="33" spans="1:2" s="73" customFormat="1">
      <c r="A33" s="400" t="s">
        <v>2937</v>
      </c>
      <c r="B33" s="72">
        <v>4</v>
      </c>
    </row>
    <row r="34" spans="1:2" s="73" customFormat="1" ht="28.5">
      <c r="A34" s="400" t="s">
        <v>2761</v>
      </c>
      <c r="B34" s="72">
        <v>1</v>
      </c>
    </row>
    <row r="35" spans="1:2" s="73" customFormat="1">
      <c r="A35" s="400" t="s">
        <v>2944</v>
      </c>
      <c r="B35" s="72">
        <v>2</v>
      </c>
    </row>
    <row r="36" spans="1:2" s="73" customFormat="1" ht="28.5">
      <c r="A36" s="400" t="s">
        <v>2054</v>
      </c>
      <c r="B36" s="72">
        <v>1</v>
      </c>
    </row>
    <row r="37" spans="1:2" s="73" customFormat="1" ht="27.75" customHeight="1">
      <c r="A37" s="400" t="s">
        <v>2948</v>
      </c>
      <c r="B37" s="72">
        <v>1</v>
      </c>
    </row>
    <row r="38" spans="1:2" s="73" customFormat="1" ht="28.5">
      <c r="A38" s="400" t="s">
        <v>2949</v>
      </c>
      <c r="B38" s="72">
        <v>1</v>
      </c>
    </row>
    <row r="39" spans="1:2" s="73" customFormat="1" ht="28.5">
      <c r="A39" s="400" t="s">
        <v>2794</v>
      </c>
      <c r="B39" s="72">
        <v>1</v>
      </c>
    </row>
    <row r="40" spans="1:2" s="73" customFormat="1" ht="28.5">
      <c r="A40" s="400" t="s">
        <v>2953</v>
      </c>
      <c r="B40" s="72">
        <v>4</v>
      </c>
    </row>
    <row r="41" spans="1:2" s="73" customFormat="1">
      <c r="A41" s="267" t="s">
        <v>2954</v>
      </c>
      <c r="B41" s="72">
        <v>1</v>
      </c>
    </row>
    <row r="42" spans="1:2" s="73" customFormat="1">
      <c r="A42" s="267" t="s">
        <v>2956</v>
      </c>
      <c r="B42" s="72">
        <v>3</v>
      </c>
    </row>
    <row r="43" spans="1:2" s="73" customFormat="1" ht="28.5">
      <c r="A43" s="267" t="s">
        <v>2102</v>
      </c>
      <c r="B43" s="72">
        <v>1</v>
      </c>
    </row>
    <row r="44" spans="1:2" s="73" customFormat="1">
      <c r="A44" s="267" t="s">
        <v>2964</v>
      </c>
      <c r="B44" s="72">
        <v>1</v>
      </c>
    </row>
    <row r="45" spans="1:2" s="73" customFormat="1" ht="28.5">
      <c r="A45" s="267" t="s">
        <v>2965</v>
      </c>
      <c r="B45" s="72">
        <v>2</v>
      </c>
    </row>
    <row r="46" spans="1:2" s="73" customFormat="1" ht="28.5">
      <c r="A46" s="267" t="s">
        <v>2966</v>
      </c>
      <c r="B46" s="72">
        <v>1</v>
      </c>
    </row>
    <row r="47" spans="1:2" s="73" customFormat="1" ht="28.5">
      <c r="A47" s="267" t="s">
        <v>2967</v>
      </c>
      <c r="B47" s="72">
        <v>4</v>
      </c>
    </row>
    <row r="48" spans="1:2" s="73" customFormat="1">
      <c r="A48" s="267" t="s">
        <v>2968</v>
      </c>
      <c r="B48" s="72">
        <v>1</v>
      </c>
    </row>
    <row r="49" spans="1:2" s="73" customFormat="1" ht="20.25" customHeight="1">
      <c r="A49" s="400" t="s">
        <v>2969</v>
      </c>
      <c r="B49" s="72">
        <v>2</v>
      </c>
    </row>
    <row r="50" spans="1:2" s="73" customFormat="1" ht="20.25" customHeight="1">
      <c r="A50" s="400" t="s">
        <v>2970</v>
      </c>
      <c r="B50" s="72">
        <v>1</v>
      </c>
    </row>
    <row r="51" spans="1:2" s="73" customFormat="1" ht="29.25" customHeight="1">
      <c r="A51" s="400" t="s">
        <v>2978</v>
      </c>
      <c r="B51" s="72">
        <v>1</v>
      </c>
    </row>
    <row r="52" spans="1:2" s="73" customFormat="1" ht="30" customHeight="1">
      <c r="A52" s="400" t="s">
        <v>2977</v>
      </c>
      <c r="B52" s="72">
        <v>2</v>
      </c>
    </row>
    <row r="53" spans="1:2" s="73" customFormat="1" ht="28.5">
      <c r="A53" s="400" t="s">
        <v>2979</v>
      </c>
      <c r="B53" s="72">
        <v>1.5</v>
      </c>
    </row>
    <row r="54" spans="1:2" s="73" customFormat="1" ht="28.5">
      <c r="A54" s="400" t="s">
        <v>2980</v>
      </c>
      <c r="B54" s="72">
        <v>1</v>
      </c>
    </row>
    <row r="55" spans="1:2" s="73" customFormat="1">
      <c r="A55" s="400" t="s">
        <v>2981</v>
      </c>
      <c r="B55" s="72">
        <v>6</v>
      </c>
    </row>
    <row r="56" spans="1:2" s="73" customFormat="1" ht="28.5">
      <c r="A56" s="400" t="s">
        <v>2982</v>
      </c>
      <c r="B56" s="72">
        <v>6</v>
      </c>
    </row>
    <row r="57" spans="1:2" s="73" customFormat="1" ht="33.75" customHeight="1">
      <c r="A57" s="527" t="s">
        <v>2156</v>
      </c>
      <c r="B57" s="72">
        <v>1</v>
      </c>
    </row>
    <row r="58" spans="1:2" s="73" customFormat="1" ht="33.75" customHeight="1">
      <c r="A58" s="612" t="s">
        <v>2985</v>
      </c>
      <c r="B58" s="72">
        <v>1</v>
      </c>
    </row>
    <row r="59" spans="1:2" s="73" customFormat="1" ht="16.5" customHeight="1">
      <c r="A59" s="613" t="s">
        <v>2993</v>
      </c>
      <c r="B59" s="72">
        <v>2</v>
      </c>
    </row>
    <row r="60" spans="1:2" s="73" customFormat="1" ht="37.5" customHeight="1">
      <c r="A60" s="618" t="s">
        <v>3000</v>
      </c>
      <c r="B60" s="72">
        <v>1</v>
      </c>
    </row>
    <row r="61" spans="1:2" s="73" customFormat="1" ht="32.25" customHeight="1">
      <c r="A61" s="618" t="s">
        <v>3003</v>
      </c>
      <c r="B61" s="72">
        <v>4</v>
      </c>
    </row>
    <row r="62" spans="1:2" s="73" customFormat="1" ht="20.25" customHeight="1">
      <c r="A62" s="618" t="s">
        <v>3004</v>
      </c>
      <c r="B62" s="72">
        <v>1</v>
      </c>
    </row>
    <row r="63" spans="1:2" s="73" customFormat="1" ht="30">
      <c r="A63" s="94" t="s">
        <v>3005</v>
      </c>
      <c r="B63" s="72">
        <v>2</v>
      </c>
    </row>
    <row r="64" spans="1:2" s="73" customFormat="1" ht="17.25" customHeight="1">
      <c r="A64" s="612" t="s">
        <v>3006</v>
      </c>
      <c r="B64" s="72">
        <v>3</v>
      </c>
    </row>
    <row r="65" spans="1:2" s="73" customFormat="1">
      <c r="A65" s="548" t="s">
        <v>2243</v>
      </c>
      <c r="B65" s="72">
        <v>1</v>
      </c>
    </row>
    <row r="66" spans="1:2" s="73" customFormat="1" ht="32.25" customHeight="1">
      <c r="A66" s="613" t="s">
        <v>3007</v>
      </c>
      <c r="B66" s="72">
        <v>1</v>
      </c>
    </row>
    <row r="67" spans="1:2" s="73" customFormat="1" ht="29.25" customHeight="1">
      <c r="A67" s="612" t="s">
        <v>3008</v>
      </c>
      <c r="B67" s="72">
        <v>1</v>
      </c>
    </row>
    <row r="68" spans="1:2" s="73" customFormat="1">
      <c r="A68" s="400" t="s">
        <v>2278</v>
      </c>
      <c r="B68" s="549">
        <v>0.5</v>
      </c>
    </row>
    <row r="69" spans="1:2" s="73" customFormat="1" ht="15" customHeight="1">
      <c r="A69" s="618" t="s">
        <v>3017</v>
      </c>
      <c r="B69" s="72">
        <v>1</v>
      </c>
    </row>
    <row r="70" spans="1:2" s="73" customFormat="1" ht="28.5">
      <c r="A70" s="613" t="s">
        <v>3018</v>
      </c>
      <c r="B70" s="72">
        <v>3</v>
      </c>
    </row>
    <row r="71" spans="1:2" s="73" customFormat="1">
      <c r="A71" s="612" t="s">
        <v>3019</v>
      </c>
      <c r="B71" s="72">
        <v>2</v>
      </c>
    </row>
    <row r="72" spans="1:2" s="73" customFormat="1">
      <c r="A72" s="612" t="s">
        <v>3020</v>
      </c>
      <c r="B72" s="72">
        <v>1</v>
      </c>
    </row>
    <row r="73" spans="1:2" s="73" customFormat="1">
      <c r="A73" s="612" t="s">
        <v>3021</v>
      </c>
      <c r="B73" s="72">
        <v>1</v>
      </c>
    </row>
    <row r="74" spans="1:2" s="73" customFormat="1" ht="28.5">
      <c r="A74" s="612" t="s">
        <v>3022</v>
      </c>
      <c r="B74" s="72">
        <v>4</v>
      </c>
    </row>
    <row r="75" spans="1:2" s="73" customFormat="1" ht="15.75" thickBot="1">
      <c r="A75" s="612" t="s">
        <v>3023</v>
      </c>
      <c r="B75" s="72">
        <v>1</v>
      </c>
    </row>
    <row r="76" spans="1:2" s="73" customFormat="1" ht="15.75" customHeight="1">
      <c r="A76" s="387" t="s">
        <v>102</v>
      </c>
      <c r="B76" s="72"/>
    </row>
    <row r="77" spans="1:2" s="73" customFormat="1">
      <c r="A77" s="400" t="s">
        <v>2938</v>
      </c>
      <c r="B77" s="72">
        <v>1</v>
      </c>
    </row>
    <row r="78" spans="1:2" s="73" customFormat="1">
      <c r="A78" s="400" t="s">
        <v>2939</v>
      </c>
      <c r="B78" s="72">
        <v>1</v>
      </c>
    </row>
    <row r="79" spans="1:2" s="73" customFormat="1">
      <c r="A79" s="400" t="s">
        <v>2940</v>
      </c>
      <c r="B79" s="72">
        <v>1</v>
      </c>
    </row>
    <row r="80" spans="1:2" s="73" customFormat="1" ht="28.5">
      <c r="A80" s="400" t="s">
        <v>2941</v>
      </c>
      <c r="B80" s="72">
        <v>1</v>
      </c>
    </row>
    <row r="81" spans="1:2" s="73" customFormat="1">
      <c r="A81" s="400" t="s">
        <v>2942</v>
      </c>
      <c r="B81" s="72">
        <v>1</v>
      </c>
    </row>
    <row r="82" spans="1:2" s="73" customFormat="1" ht="28.5">
      <c r="A82" s="400" t="s">
        <v>2943</v>
      </c>
      <c r="B82" s="72">
        <v>1</v>
      </c>
    </row>
    <row r="83" spans="1:2" s="73" customFormat="1">
      <c r="A83" s="400" t="s">
        <v>2945</v>
      </c>
      <c r="B83" s="72">
        <v>1</v>
      </c>
    </row>
    <row r="84" spans="1:2" s="73" customFormat="1">
      <c r="A84" s="400" t="s">
        <v>2946</v>
      </c>
      <c r="B84" s="72">
        <v>0.5</v>
      </c>
    </row>
    <row r="85" spans="1:2" s="73" customFormat="1" ht="18" customHeight="1">
      <c r="A85" s="400" t="s">
        <v>2947</v>
      </c>
      <c r="B85" s="72">
        <v>1.5</v>
      </c>
    </row>
    <row r="86" spans="1:2" s="73" customFormat="1" ht="18" customHeight="1">
      <c r="A86" s="400" t="s">
        <v>3029</v>
      </c>
      <c r="B86" s="72">
        <v>1</v>
      </c>
    </row>
    <row r="87" spans="1:2" s="73" customFormat="1" ht="18" customHeight="1">
      <c r="A87" s="400" t="s">
        <v>3030</v>
      </c>
      <c r="B87" s="72">
        <v>1</v>
      </c>
    </row>
    <row r="88" spans="1:2" s="73" customFormat="1" ht="19.5" customHeight="1">
      <c r="A88" s="400" t="s">
        <v>2950</v>
      </c>
      <c r="B88" s="72">
        <v>1</v>
      </c>
    </row>
    <row r="89" spans="1:2" s="73" customFormat="1">
      <c r="A89" s="400" t="s">
        <v>2951</v>
      </c>
      <c r="B89" s="72">
        <v>1</v>
      </c>
    </row>
    <row r="90" spans="1:2" s="73" customFormat="1">
      <c r="A90" s="400" t="s">
        <v>2957</v>
      </c>
      <c r="B90" s="72">
        <v>1</v>
      </c>
    </row>
    <row r="91" spans="1:2" s="73" customFormat="1">
      <c r="A91" s="400" t="s">
        <v>2487</v>
      </c>
      <c r="B91" s="72">
        <v>1</v>
      </c>
    </row>
    <row r="92" spans="1:2" s="73" customFormat="1" ht="18" customHeight="1">
      <c r="A92" s="400" t="s">
        <v>2958</v>
      </c>
      <c r="B92" s="72">
        <v>1</v>
      </c>
    </row>
    <row r="93" spans="1:2" s="73" customFormat="1">
      <c r="A93" s="400" t="s">
        <v>2959</v>
      </c>
      <c r="B93" s="72">
        <v>1</v>
      </c>
    </row>
    <row r="94" spans="1:2" s="73" customFormat="1" ht="18.75" customHeight="1">
      <c r="A94" s="400" t="s">
        <v>2960</v>
      </c>
      <c r="B94" s="72">
        <v>1</v>
      </c>
    </row>
    <row r="95" spans="1:2" s="73" customFormat="1">
      <c r="A95" s="400" t="s">
        <v>2961</v>
      </c>
      <c r="B95" s="72">
        <v>2</v>
      </c>
    </row>
    <row r="96" spans="1:2" s="73" customFormat="1" ht="28.5">
      <c r="A96" s="400" t="s">
        <v>2971</v>
      </c>
      <c r="B96" s="72">
        <v>1</v>
      </c>
    </row>
    <row r="97" spans="1:2" s="73" customFormat="1" ht="18.75" customHeight="1">
      <c r="A97" s="400" t="s">
        <v>2972</v>
      </c>
      <c r="B97" s="72">
        <v>1</v>
      </c>
    </row>
    <row r="98" spans="1:2" s="73" customFormat="1" ht="18.75" customHeight="1">
      <c r="A98" s="400" t="s">
        <v>2973</v>
      </c>
      <c r="B98" s="72">
        <v>0.5</v>
      </c>
    </row>
    <row r="99" spans="1:2" s="73" customFormat="1">
      <c r="A99" s="400" t="s">
        <v>2983</v>
      </c>
      <c r="B99" s="72">
        <v>1</v>
      </c>
    </row>
    <row r="100" spans="1:2" s="73" customFormat="1">
      <c r="A100" s="400" t="s">
        <v>2986</v>
      </c>
      <c r="B100" s="72">
        <v>1</v>
      </c>
    </row>
    <row r="101" spans="1:2" s="73" customFormat="1" ht="28.5">
      <c r="A101" s="400" t="s">
        <v>2988</v>
      </c>
      <c r="B101" s="72">
        <v>1</v>
      </c>
    </row>
    <row r="102" spans="1:2" s="73" customFormat="1" ht="18.75" customHeight="1">
      <c r="A102" s="400" t="s">
        <v>2987</v>
      </c>
      <c r="B102" s="72">
        <v>1</v>
      </c>
    </row>
    <row r="103" spans="1:2" s="73" customFormat="1">
      <c r="A103" s="400" t="s">
        <v>2994</v>
      </c>
      <c r="B103" s="72">
        <v>1</v>
      </c>
    </row>
    <row r="104" spans="1:2" s="73" customFormat="1" ht="33" customHeight="1">
      <c r="A104" s="146" t="s">
        <v>2995</v>
      </c>
      <c r="B104" s="72">
        <v>1</v>
      </c>
    </row>
    <row r="105" spans="1:2" s="73" customFormat="1" ht="18" customHeight="1">
      <c r="A105" s="400" t="s">
        <v>2996</v>
      </c>
      <c r="B105" s="72">
        <v>1</v>
      </c>
    </row>
    <row r="106" spans="1:2" s="73" customFormat="1" ht="18" customHeight="1">
      <c r="A106" s="400" t="s">
        <v>2997</v>
      </c>
      <c r="B106" s="72">
        <v>1</v>
      </c>
    </row>
    <row r="107" spans="1:2" s="73" customFormat="1" ht="18" customHeight="1">
      <c r="A107" s="400" t="s">
        <v>3001</v>
      </c>
      <c r="B107" s="72">
        <v>1</v>
      </c>
    </row>
    <row r="108" spans="1:2" s="73" customFormat="1" ht="29.25" customHeight="1">
      <c r="A108" s="400" t="s">
        <v>3009</v>
      </c>
      <c r="B108" s="72">
        <v>1</v>
      </c>
    </row>
    <row r="109" spans="1:2" s="73" customFormat="1" ht="18" customHeight="1">
      <c r="A109" s="400" t="s">
        <v>3010</v>
      </c>
      <c r="B109" s="72">
        <v>1</v>
      </c>
    </row>
    <row r="110" spans="1:2" s="73" customFormat="1" ht="30" customHeight="1">
      <c r="A110" s="400" t="s">
        <v>3011</v>
      </c>
      <c r="B110" s="72">
        <v>1</v>
      </c>
    </row>
    <row r="111" spans="1:2" s="73" customFormat="1" ht="32.25" customHeight="1">
      <c r="A111" s="400" t="s">
        <v>3012</v>
      </c>
      <c r="B111" s="72">
        <v>1</v>
      </c>
    </row>
    <row r="112" spans="1:2" s="73" customFormat="1" ht="32.25" customHeight="1">
      <c r="A112" s="400" t="s">
        <v>3013</v>
      </c>
      <c r="B112" s="72">
        <v>2</v>
      </c>
    </row>
    <row r="113" spans="1:253" s="73" customFormat="1" ht="23.25" customHeight="1">
      <c r="A113" s="400" t="s">
        <v>3014</v>
      </c>
      <c r="B113" s="72">
        <v>1</v>
      </c>
    </row>
    <row r="114" spans="1:253" s="73" customFormat="1" ht="32.25" customHeight="1">
      <c r="A114" s="400" t="s">
        <v>3015</v>
      </c>
      <c r="B114" s="72">
        <v>1</v>
      </c>
    </row>
    <row r="115" spans="1:253" s="73" customFormat="1" ht="32.25" customHeight="1">
      <c r="A115" s="400" t="s">
        <v>3024</v>
      </c>
      <c r="B115" s="72">
        <v>1</v>
      </c>
    </row>
    <row r="116" spans="1:253" s="73" customFormat="1" ht="32.25" customHeight="1">
      <c r="A116" s="400" t="s">
        <v>3025</v>
      </c>
      <c r="B116" s="72">
        <v>1</v>
      </c>
    </row>
    <row r="117" spans="1:253" s="73" customFormat="1" ht="15.75" customHeight="1">
      <c r="A117" s="400" t="s">
        <v>3026</v>
      </c>
      <c r="B117" s="72">
        <v>1</v>
      </c>
    </row>
    <row r="118" spans="1:253" s="73" customFormat="1" ht="15.75" customHeight="1">
      <c r="A118" s="400" t="s">
        <v>3027</v>
      </c>
      <c r="B118" s="72">
        <v>1</v>
      </c>
    </row>
    <row r="119" spans="1:253" s="73" customFormat="1" ht="15.75" customHeight="1">
      <c r="A119" s="400" t="s">
        <v>3028</v>
      </c>
      <c r="B119" s="72">
        <v>1</v>
      </c>
    </row>
    <row r="120" spans="1:253" s="73" customFormat="1">
      <c r="A120" s="134" t="s">
        <v>587</v>
      </c>
      <c r="B120" s="72">
        <f>SUM(B8:B114)+150</f>
        <v>339.5</v>
      </c>
    </row>
    <row r="121" spans="1:253">
      <c r="A121" s="78"/>
      <c r="B121" s="75"/>
    </row>
    <row r="122" spans="1:253" s="179" customFormat="1" ht="43.5" customHeight="1">
      <c r="A122" s="565" t="s">
        <v>2416</v>
      </c>
      <c r="IS122"/>
    </row>
    <row r="123" spans="1:253">
      <c r="A123" s="217" t="s">
        <v>593</v>
      </c>
      <c r="B123" s="196">
        <v>2637.5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179"/>
      <c r="BN123" s="179"/>
      <c r="BO123" s="179"/>
      <c r="BP123" s="179"/>
      <c r="BQ123" s="179"/>
      <c r="BR123" s="179"/>
      <c r="BS123" s="179"/>
      <c r="BT123" s="179"/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79"/>
      <c r="CE123" s="179"/>
      <c r="CF123" s="179"/>
      <c r="CG123" s="179"/>
      <c r="CH123" s="179"/>
      <c r="CI123" s="179"/>
      <c r="CJ123" s="179"/>
      <c r="CK123" s="179"/>
      <c r="CL123" s="179"/>
      <c r="CM123" s="179"/>
      <c r="CN123" s="179"/>
      <c r="CO123" s="179"/>
      <c r="CP123" s="179"/>
      <c r="CQ123" s="179"/>
      <c r="CR123" s="179"/>
      <c r="CS123" s="179"/>
      <c r="CT123" s="179"/>
      <c r="CU123" s="179"/>
      <c r="CV123" s="179"/>
      <c r="CW123" s="179"/>
      <c r="CX123" s="179"/>
      <c r="CY123" s="179"/>
      <c r="CZ123" s="179"/>
      <c r="DA123" s="179"/>
      <c r="DB123" s="179"/>
      <c r="DC123" s="179"/>
      <c r="DD123" s="179"/>
      <c r="DE123" s="179"/>
      <c r="DF123" s="179"/>
      <c r="DG123" s="179"/>
      <c r="DH123" s="179"/>
      <c r="DI123" s="179"/>
      <c r="DJ123" s="179"/>
      <c r="DK123" s="179"/>
      <c r="DL123" s="179"/>
      <c r="DM123" s="179"/>
      <c r="DN123" s="179"/>
      <c r="DO123" s="179"/>
      <c r="DP123" s="179"/>
      <c r="DQ123" s="179"/>
      <c r="DR123" s="179"/>
      <c r="DS123" s="179"/>
      <c r="DT123" s="179"/>
      <c r="DU123" s="179"/>
      <c r="DV123" s="179"/>
      <c r="DW123" s="179"/>
      <c r="DX123" s="179"/>
      <c r="DY123" s="179"/>
      <c r="DZ123" s="179"/>
      <c r="EA123" s="179"/>
      <c r="EB123" s="179"/>
      <c r="EC123" s="179"/>
      <c r="ED123" s="179"/>
      <c r="EE123" s="179"/>
      <c r="EF123" s="179"/>
      <c r="EG123" s="179"/>
      <c r="EH123" s="179"/>
      <c r="EI123" s="179"/>
      <c r="EJ123" s="179"/>
      <c r="EK123" s="179"/>
      <c r="EL123" s="179"/>
      <c r="EM123" s="179"/>
      <c r="EN123" s="179"/>
      <c r="EO123" s="179"/>
      <c r="EP123" s="179"/>
      <c r="EQ123" s="179"/>
      <c r="ER123" s="179"/>
      <c r="ES123" s="179"/>
      <c r="ET123" s="179"/>
      <c r="EU123" s="179"/>
      <c r="EV123" s="179"/>
      <c r="EW123" s="179"/>
      <c r="EX123" s="179"/>
      <c r="EY123" s="179"/>
      <c r="EZ123" s="179"/>
      <c r="FA123" s="179"/>
      <c r="FB123" s="179"/>
      <c r="FC123" s="179"/>
      <c r="FD123" s="179"/>
      <c r="FE123" s="179"/>
      <c r="FF123" s="179"/>
      <c r="FG123" s="179"/>
      <c r="FH123" s="179"/>
      <c r="FI123" s="179"/>
      <c r="FJ123" s="179"/>
      <c r="FK123" s="179"/>
      <c r="FL123" s="179"/>
      <c r="FM123" s="179"/>
      <c r="FN123" s="179"/>
      <c r="FO123" s="179"/>
      <c r="FP123" s="179"/>
      <c r="FQ123" s="179"/>
      <c r="FR123" s="179"/>
      <c r="FS123" s="179"/>
      <c r="FT123" s="179"/>
      <c r="FU123" s="179"/>
      <c r="FV123" s="179"/>
      <c r="FW123" s="179"/>
      <c r="FX123" s="179"/>
      <c r="FY123" s="179"/>
      <c r="FZ123" s="179"/>
      <c r="GA123" s="179"/>
      <c r="GB123" s="179"/>
      <c r="GC123" s="179"/>
      <c r="GD123" s="179"/>
      <c r="GE123" s="179"/>
      <c r="GF123" s="179"/>
      <c r="GG123" s="179"/>
      <c r="GH123" s="179"/>
      <c r="GI123" s="179"/>
      <c r="GJ123" s="179"/>
      <c r="GK123" s="179"/>
      <c r="GL123" s="179"/>
      <c r="GM123" s="179"/>
      <c r="GN123" s="179"/>
      <c r="GO123" s="179"/>
      <c r="GP123" s="179"/>
      <c r="GQ123" s="179"/>
      <c r="GR123" s="179"/>
      <c r="GS123" s="179"/>
      <c r="GT123" s="179"/>
      <c r="GU123" s="179"/>
      <c r="GV123" s="179"/>
      <c r="GW123" s="179"/>
      <c r="GX123" s="179"/>
      <c r="GY123" s="179"/>
      <c r="GZ123" s="179"/>
      <c r="HA123" s="179"/>
      <c r="HB123" s="179"/>
      <c r="HC123" s="179"/>
      <c r="HD123" s="179"/>
      <c r="HE123" s="179"/>
      <c r="HF123" s="179"/>
      <c r="HG123" s="179"/>
      <c r="HH123" s="179"/>
      <c r="HI123" s="179"/>
      <c r="HJ123" s="179"/>
      <c r="HK123" s="179"/>
      <c r="HL123" s="179"/>
      <c r="HM123" s="179"/>
      <c r="HN123" s="179"/>
      <c r="HO123" s="179"/>
      <c r="HP123" s="179"/>
      <c r="HQ123" s="179"/>
      <c r="HR123" s="179"/>
      <c r="HS123" s="179"/>
      <c r="HT123" s="179"/>
      <c r="HU123" s="179"/>
      <c r="HV123" s="179"/>
      <c r="HW123" s="179"/>
      <c r="HX123" s="179"/>
      <c r="HY123" s="179"/>
      <c r="HZ123" s="179"/>
      <c r="IA123" s="179"/>
      <c r="IB123" s="179"/>
      <c r="IC123" s="179"/>
      <c r="ID123" s="179"/>
      <c r="IE123" s="179"/>
      <c r="IF123" s="179"/>
      <c r="IG123" s="179"/>
      <c r="IH123" s="179"/>
      <c r="II123" s="179"/>
      <c r="IJ123" s="179"/>
      <c r="IK123" s="179"/>
      <c r="IL123" s="179"/>
      <c r="IM123" s="179"/>
      <c r="IN123" s="179"/>
      <c r="IO123" s="179"/>
      <c r="IP123" s="179"/>
      <c r="IQ123" s="179"/>
      <c r="IR123" s="179"/>
    </row>
    <row r="124" spans="1:253">
      <c r="A124" s="217" t="s">
        <v>594</v>
      </c>
      <c r="B124" s="196">
        <v>19.16</v>
      </c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79"/>
      <c r="BL124" s="179"/>
      <c r="BM124" s="179"/>
      <c r="BN124" s="179"/>
      <c r="BO124" s="179"/>
      <c r="BP124" s="179"/>
      <c r="BQ124" s="179"/>
      <c r="BR124" s="179"/>
      <c r="BS124" s="179"/>
      <c r="BT124" s="179"/>
      <c r="BU124" s="179"/>
      <c r="BV124" s="179"/>
      <c r="BW124" s="179"/>
      <c r="BX124" s="179"/>
      <c r="BY124" s="179"/>
      <c r="BZ124" s="179"/>
      <c r="CA124" s="179"/>
      <c r="CB124" s="179"/>
      <c r="CC124" s="179"/>
      <c r="CD124" s="179"/>
      <c r="CE124" s="179"/>
      <c r="CF124" s="179"/>
      <c r="CG124" s="179"/>
      <c r="CH124" s="179"/>
      <c r="CI124" s="179"/>
      <c r="CJ124" s="179"/>
      <c r="CK124" s="179"/>
      <c r="CL124" s="179"/>
      <c r="CM124" s="179"/>
      <c r="CN124" s="179"/>
      <c r="CO124" s="179"/>
      <c r="CP124" s="179"/>
      <c r="CQ124" s="179"/>
      <c r="CR124" s="179"/>
      <c r="CS124" s="179"/>
      <c r="CT124" s="179"/>
      <c r="CU124" s="179"/>
      <c r="CV124" s="179"/>
      <c r="CW124" s="179"/>
      <c r="CX124" s="179"/>
      <c r="CY124" s="179"/>
      <c r="CZ124" s="179"/>
      <c r="DA124" s="179"/>
      <c r="DB124" s="179"/>
      <c r="DC124" s="179"/>
      <c r="DD124" s="179"/>
      <c r="DE124" s="179"/>
      <c r="DF124" s="179"/>
      <c r="DG124" s="179"/>
      <c r="DH124" s="179"/>
      <c r="DI124" s="179"/>
      <c r="DJ124" s="179"/>
      <c r="DK124" s="179"/>
      <c r="DL124" s="179"/>
      <c r="DM124" s="179"/>
      <c r="DN124" s="179"/>
      <c r="DO124" s="179"/>
      <c r="DP124" s="179"/>
      <c r="DQ124" s="179"/>
      <c r="DR124" s="179"/>
      <c r="DS124" s="179"/>
      <c r="DT124" s="179"/>
      <c r="DU124" s="179"/>
      <c r="DV124" s="179"/>
      <c r="DW124" s="179"/>
      <c r="DX124" s="179"/>
      <c r="DY124" s="179"/>
      <c r="DZ124" s="179"/>
      <c r="EA124" s="179"/>
      <c r="EB124" s="179"/>
      <c r="EC124" s="179"/>
      <c r="ED124" s="179"/>
      <c r="EE124" s="179"/>
      <c r="EF124" s="179"/>
      <c r="EG124" s="179"/>
      <c r="EH124" s="179"/>
      <c r="EI124" s="179"/>
      <c r="EJ124" s="179"/>
      <c r="EK124" s="179"/>
      <c r="EL124" s="179"/>
      <c r="EM124" s="179"/>
      <c r="EN124" s="179"/>
      <c r="EO124" s="179"/>
      <c r="EP124" s="179"/>
      <c r="EQ124" s="179"/>
      <c r="ER124" s="179"/>
      <c r="ES124" s="179"/>
      <c r="ET124" s="179"/>
      <c r="EU124" s="179"/>
      <c r="EV124" s="179"/>
      <c r="EW124" s="179"/>
      <c r="EX124" s="179"/>
      <c r="EY124" s="179"/>
      <c r="EZ124" s="179"/>
      <c r="FA124" s="179"/>
      <c r="FB124" s="179"/>
      <c r="FC124" s="179"/>
      <c r="FD124" s="179"/>
      <c r="FE124" s="179"/>
      <c r="FF124" s="179"/>
      <c r="FG124" s="179"/>
      <c r="FH124" s="179"/>
      <c r="FI124" s="179"/>
      <c r="FJ124" s="179"/>
      <c r="FK124" s="179"/>
      <c r="FL124" s="179"/>
      <c r="FM124" s="179"/>
      <c r="FN124" s="179"/>
      <c r="FO124" s="179"/>
      <c r="FP124" s="179"/>
      <c r="FQ124" s="179"/>
      <c r="FR124" s="179"/>
      <c r="FS124" s="179"/>
      <c r="FT124" s="179"/>
      <c r="FU124" s="179"/>
      <c r="FV124" s="179"/>
      <c r="FW124" s="179"/>
      <c r="FX124" s="179"/>
      <c r="FY124" s="179"/>
      <c r="FZ124" s="179"/>
      <c r="GA124" s="179"/>
      <c r="GB124" s="179"/>
      <c r="GC124" s="179"/>
      <c r="GD124" s="179"/>
      <c r="GE124" s="179"/>
      <c r="GF124" s="179"/>
      <c r="GG124" s="179"/>
      <c r="GH124" s="179"/>
      <c r="GI124" s="179"/>
      <c r="GJ124" s="179"/>
      <c r="GK124" s="179"/>
      <c r="GL124" s="179"/>
      <c r="GM124" s="179"/>
      <c r="GN124" s="179"/>
      <c r="GO124" s="179"/>
      <c r="GP124" s="179"/>
      <c r="GQ124" s="179"/>
      <c r="GR124" s="179"/>
      <c r="GS124" s="179"/>
      <c r="GT124" s="179"/>
      <c r="GU124" s="179"/>
      <c r="GV124" s="179"/>
      <c r="GW124" s="179"/>
      <c r="GX124" s="179"/>
      <c r="GY124" s="179"/>
      <c r="GZ124" s="179"/>
      <c r="HA124" s="179"/>
      <c r="HB124" s="179"/>
      <c r="HC124" s="179"/>
      <c r="HD124" s="179"/>
      <c r="HE124" s="179"/>
      <c r="HF124" s="179"/>
      <c r="HG124" s="179"/>
      <c r="HH124" s="179"/>
      <c r="HI124" s="179"/>
      <c r="HJ124" s="179"/>
      <c r="HK124" s="179"/>
      <c r="HL124" s="179"/>
      <c r="HM124" s="179"/>
      <c r="HN124" s="179"/>
      <c r="HO124" s="179"/>
      <c r="HP124" s="179"/>
      <c r="HQ124" s="179"/>
      <c r="HR124" s="179"/>
      <c r="HS124" s="179"/>
      <c r="HT124" s="179"/>
      <c r="HU124" s="179"/>
      <c r="HV124" s="179"/>
      <c r="HW124" s="179"/>
      <c r="HX124" s="179"/>
      <c r="HY124" s="179"/>
      <c r="HZ124" s="179"/>
      <c r="IA124" s="179"/>
      <c r="IB124" s="179"/>
      <c r="IC124" s="179"/>
      <c r="ID124" s="179"/>
      <c r="IE124" s="179"/>
      <c r="IF124" s="179"/>
      <c r="IG124" s="179"/>
      <c r="IH124" s="179"/>
      <c r="II124" s="179"/>
      <c r="IJ124" s="179"/>
      <c r="IK124" s="179"/>
      <c r="IL124" s="179"/>
      <c r="IM124" s="179"/>
      <c r="IN124" s="179"/>
      <c r="IO124" s="179"/>
      <c r="IP124" s="179"/>
      <c r="IQ124" s="179"/>
      <c r="IR124" s="179"/>
    </row>
    <row r="125" spans="1:253">
      <c r="A125" s="218" t="s">
        <v>711</v>
      </c>
      <c r="B125" s="193">
        <v>158325.79999999999</v>
      </c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9"/>
      <c r="BW125" s="179"/>
      <c r="BX125" s="179"/>
      <c r="BY125" s="179"/>
      <c r="BZ125" s="179"/>
      <c r="CA125" s="179"/>
      <c r="CB125" s="179"/>
      <c r="CC125" s="179"/>
      <c r="CD125" s="179"/>
      <c r="CE125" s="179"/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79"/>
      <c r="CQ125" s="179"/>
      <c r="CR125" s="179"/>
      <c r="CS125" s="179"/>
      <c r="CT125" s="179"/>
      <c r="CU125" s="179"/>
      <c r="CV125" s="179"/>
      <c r="CW125" s="179"/>
      <c r="CX125" s="179"/>
      <c r="CY125" s="179"/>
      <c r="CZ125" s="179"/>
      <c r="DA125" s="179"/>
      <c r="DB125" s="179"/>
      <c r="DC125" s="179"/>
      <c r="DD125" s="179"/>
      <c r="DE125" s="179"/>
      <c r="DF125" s="179"/>
      <c r="DG125" s="179"/>
      <c r="DH125" s="179"/>
      <c r="DI125" s="179"/>
      <c r="DJ125" s="179"/>
      <c r="DK125" s="179"/>
      <c r="DL125" s="179"/>
      <c r="DM125" s="179"/>
      <c r="DN125" s="179"/>
      <c r="DO125" s="179"/>
      <c r="DP125" s="179"/>
      <c r="DQ125" s="179"/>
      <c r="DR125" s="179"/>
      <c r="DS125" s="179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9"/>
      <c r="EF125" s="179"/>
      <c r="EG125" s="179"/>
      <c r="EH125" s="179"/>
      <c r="EI125" s="179"/>
      <c r="EJ125" s="179"/>
      <c r="EK125" s="179"/>
      <c r="EL125" s="179"/>
      <c r="EM125" s="179"/>
      <c r="EN125" s="179"/>
      <c r="EO125" s="179"/>
      <c r="EP125" s="179"/>
      <c r="EQ125" s="179"/>
      <c r="ER125" s="179"/>
      <c r="ES125" s="179"/>
      <c r="ET125" s="179"/>
      <c r="EU125" s="179"/>
      <c r="EV125" s="179"/>
      <c r="EW125" s="179"/>
      <c r="EX125" s="179"/>
      <c r="EY125" s="179"/>
      <c r="EZ125" s="179"/>
      <c r="FA125" s="179"/>
      <c r="FB125" s="179"/>
      <c r="FC125" s="179"/>
      <c r="FD125" s="179"/>
      <c r="FE125" s="179"/>
      <c r="FF125" s="179"/>
      <c r="FG125" s="179"/>
      <c r="FH125" s="179"/>
      <c r="FI125" s="179"/>
      <c r="FJ125" s="179"/>
      <c r="FK125" s="179"/>
      <c r="FL125" s="179"/>
      <c r="FM125" s="179"/>
      <c r="FN125" s="179"/>
      <c r="FO125" s="179"/>
      <c r="FP125" s="179"/>
      <c r="FQ125" s="179"/>
      <c r="FR125" s="179"/>
      <c r="FS125" s="179"/>
      <c r="FT125" s="179"/>
      <c r="FU125" s="179"/>
      <c r="FV125" s="179"/>
      <c r="FW125" s="179"/>
      <c r="FX125" s="179"/>
      <c r="FY125" s="179"/>
      <c r="FZ125" s="179"/>
      <c r="GA125" s="179"/>
      <c r="GB125" s="179"/>
      <c r="GC125" s="179"/>
      <c r="GD125" s="179"/>
      <c r="GE125" s="179"/>
      <c r="GF125" s="179"/>
      <c r="GG125" s="179"/>
      <c r="GH125" s="179"/>
      <c r="GI125" s="179"/>
      <c r="GJ125" s="179"/>
      <c r="GK125" s="179"/>
      <c r="GL125" s="179"/>
      <c r="GM125" s="179"/>
      <c r="GN125" s="179"/>
      <c r="GO125" s="179"/>
      <c r="GP125" s="179"/>
      <c r="GQ125" s="179"/>
      <c r="GR125" s="179"/>
      <c r="GS125" s="179"/>
      <c r="GT125" s="179"/>
      <c r="GU125" s="179"/>
      <c r="GV125" s="179"/>
      <c r="GW125" s="179"/>
      <c r="GX125" s="179"/>
      <c r="GY125" s="179"/>
      <c r="GZ125" s="179"/>
      <c r="HA125" s="179"/>
      <c r="HB125" s="179"/>
      <c r="HC125" s="179"/>
      <c r="HD125" s="179"/>
      <c r="HE125" s="179"/>
      <c r="HF125" s="179"/>
      <c r="HG125" s="179"/>
      <c r="HH125" s="179"/>
      <c r="HI125" s="179"/>
      <c r="HJ125" s="179"/>
      <c r="HK125" s="179"/>
      <c r="HL125" s="179"/>
      <c r="HM125" s="179"/>
      <c r="HN125" s="179"/>
      <c r="HO125" s="179"/>
      <c r="HP125" s="179"/>
      <c r="HQ125" s="179"/>
      <c r="HR125" s="179"/>
      <c r="HS125" s="179"/>
      <c r="HT125" s="179"/>
      <c r="HU125" s="179"/>
      <c r="HV125" s="179"/>
      <c r="HW125" s="179"/>
      <c r="HX125" s="179"/>
      <c r="HY125" s="179"/>
      <c r="HZ125" s="179"/>
      <c r="IA125" s="179"/>
      <c r="IB125" s="179"/>
      <c r="IC125" s="179"/>
      <c r="ID125" s="179"/>
      <c r="IE125" s="179"/>
      <c r="IF125" s="179"/>
      <c r="IG125" s="179"/>
      <c r="IH125" s="179"/>
      <c r="II125" s="179"/>
      <c r="IJ125" s="179"/>
      <c r="IK125" s="179"/>
      <c r="IL125" s="179"/>
      <c r="IM125" s="179"/>
      <c r="IN125" s="179"/>
      <c r="IO125" s="179"/>
      <c r="IP125" s="179"/>
      <c r="IQ125" s="179"/>
      <c r="IR125" s="179"/>
    </row>
    <row r="126" spans="1:253">
      <c r="A126" s="218" t="s">
        <v>1123</v>
      </c>
      <c r="B126" s="193">
        <v>580960.68000000005</v>
      </c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79"/>
      <c r="BW126" s="179"/>
      <c r="BX126" s="179"/>
      <c r="BY126" s="179"/>
      <c r="BZ126" s="179"/>
      <c r="CA126" s="179"/>
      <c r="CB126" s="179"/>
      <c r="CC126" s="179"/>
      <c r="CD126" s="179"/>
      <c r="CE126" s="179"/>
      <c r="CF126" s="179"/>
      <c r="CG126" s="179"/>
      <c r="CH126" s="179"/>
      <c r="CI126" s="179"/>
      <c r="CJ126" s="179"/>
      <c r="CK126" s="179"/>
      <c r="CL126" s="179"/>
      <c r="CM126" s="179"/>
      <c r="CN126" s="179"/>
      <c r="CO126" s="179"/>
      <c r="CP126" s="179"/>
      <c r="CQ126" s="179"/>
      <c r="CR126" s="179"/>
      <c r="CS126" s="179"/>
      <c r="CT126" s="179"/>
      <c r="CU126" s="179"/>
      <c r="CV126" s="179"/>
      <c r="CW126" s="179"/>
      <c r="CX126" s="179"/>
      <c r="CY126" s="179"/>
      <c r="CZ126" s="179"/>
      <c r="DA126" s="179"/>
      <c r="DB126" s="179"/>
      <c r="DC126" s="179"/>
      <c r="DD126" s="179"/>
      <c r="DE126" s="179"/>
      <c r="DF126" s="179"/>
      <c r="DG126" s="179"/>
      <c r="DH126" s="179"/>
      <c r="DI126" s="179"/>
      <c r="DJ126" s="179"/>
      <c r="DK126" s="179"/>
      <c r="DL126" s="179"/>
      <c r="DM126" s="179"/>
      <c r="DN126" s="179"/>
      <c r="DO126" s="179"/>
      <c r="DP126" s="179"/>
      <c r="DQ126" s="179"/>
      <c r="DR126" s="179"/>
      <c r="DS126" s="179"/>
      <c r="DT126" s="179"/>
      <c r="DU126" s="179"/>
      <c r="DV126" s="179"/>
      <c r="DW126" s="179"/>
      <c r="DX126" s="179"/>
      <c r="DY126" s="179"/>
      <c r="DZ126" s="179"/>
      <c r="EA126" s="179"/>
      <c r="EB126" s="179"/>
      <c r="EC126" s="179"/>
      <c r="ED126" s="179"/>
      <c r="EE126" s="179"/>
      <c r="EF126" s="179"/>
      <c r="EG126" s="179"/>
      <c r="EH126" s="179"/>
      <c r="EI126" s="179"/>
      <c r="EJ126" s="179"/>
      <c r="EK126" s="179"/>
      <c r="EL126" s="179"/>
      <c r="EM126" s="179"/>
      <c r="EN126" s="179"/>
      <c r="EO126" s="179"/>
      <c r="EP126" s="179"/>
      <c r="EQ126" s="179"/>
      <c r="ER126" s="179"/>
      <c r="ES126" s="179"/>
      <c r="ET126" s="179"/>
      <c r="EU126" s="179"/>
      <c r="EV126" s="179"/>
      <c r="EW126" s="179"/>
      <c r="EX126" s="179"/>
      <c r="EY126" s="179"/>
      <c r="EZ126" s="179"/>
      <c r="FA126" s="179"/>
      <c r="FB126" s="179"/>
      <c r="FC126" s="179"/>
      <c r="FD126" s="179"/>
      <c r="FE126" s="179"/>
      <c r="FF126" s="179"/>
      <c r="FG126" s="179"/>
      <c r="FH126" s="179"/>
      <c r="FI126" s="179"/>
      <c r="FJ126" s="179"/>
      <c r="FK126" s="179"/>
      <c r="FL126" s="179"/>
      <c r="FM126" s="179"/>
      <c r="FN126" s="179"/>
      <c r="FO126" s="179"/>
      <c r="FP126" s="179"/>
      <c r="FQ126" s="179"/>
      <c r="FR126" s="179"/>
      <c r="FS126" s="179"/>
      <c r="FT126" s="179"/>
      <c r="FU126" s="179"/>
      <c r="FV126" s="179"/>
      <c r="FW126" s="179"/>
      <c r="FX126" s="179"/>
      <c r="FY126" s="179"/>
      <c r="FZ126" s="179"/>
      <c r="GA126" s="179"/>
      <c r="GB126" s="179"/>
      <c r="GC126" s="179"/>
      <c r="GD126" s="179"/>
      <c r="GE126" s="179"/>
      <c r="GF126" s="179"/>
      <c r="GG126" s="179"/>
      <c r="GH126" s="179"/>
      <c r="GI126" s="179"/>
      <c r="GJ126" s="179"/>
      <c r="GK126" s="179"/>
      <c r="GL126" s="179"/>
      <c r="GM126" s="179"/>
      <c r="GN126" s="179"/>
      <c r="GO126" s="179"/>
      <c r="GP126" s="179"/>
      <c r="GQ126" s="179"/>
      <c r="GR126" s="179"/>
      <c r="GS126" s="179"/>
      <c r="GT126" s="179"/>
      <c r="GU126" s="179"/>
      <c r="GV126" s="179"/>
      <c r="GW126" s="179"/>
      <c r="GX126" s="179"/>
      <c r="GY126" s="179"/>
      <c r="GZ126" s="179"/>
      <c r="HA126" s="179"/>
      <c r="HB126" s="179"/>
      <c r="HC126" s="179"/>
      <c r="HD126" s="179"/>
      <c r="HE126" s="179"/>
      <c r="HF126" s="179"/>
      <c r="HG126" s="179"/>
      <c r="HH126" s="179"/>
      <c r="HI126" s="179"/>
      <c r="HJ126" s="179"/>
      <c r="HK126" s="179"/>
      <c r="HL126" s="179"/>
      <c r="HM126" s="179"/>
      <c r="HN126" s="179"/>
      <c r="HO126" s="179"/>
      <c r="HP126" s="179"/>
      <c r="HQ126" s="179"/>
      <c r="HR126" s="179"/>
      <c r="HS126" s="179"/>
      <c r="HT126" s="179"/>
      <c r="HU126" s="179"/>
      <c r="HV126" s="179"/>
      <c r="HW126" s="179"/>
      <c r="HX126" s="179"/>
      <c r="HY126" s="179"/>
      <c r="HZ126" s="179"/>
      <c r="IA126" s="179"/>
      <c r="IB126" s="179"/>
      <c r="IC126" s="179"/>
      <c r="ID126" s="179"/>
      <c r="IE126" s="179"/>
      <c r="IF126" s="179"/>
      <c r="IG126" s="179"/>
      <c r="IH126" s="179"/>
      <c r="II126" s="179"/>
      <c r="IJ126" s="179"/>
      <c r="IK126" s="179"/>
      <c r="IL126" s="179"/>
      <c r="IM126" s="179"/>
      <c r="IN126" s="179"/>
      <c r="IO126" s="179"/>
      <c r="IP126" s="179"/>
      <c r="IQ126" s="179"/>
      <c r="IR126" s="179"/>
    </row>
    <row r="127" spans="1:253">
      <c r="A127" s="218" t="s">
        <v>1602</v>
      </c>
      <c r="B127" s="193">
        <f>3655.8+15249.18</f>
        <v>18904.98</v>
      </c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9"/>
      <c r="BW127" s="179"/>
      <c r="BX127" s="179"/>
      <c r="BY127" s="179"/>
      <c r="BZ127" s="179"/>
      <c r="CA127" s="179"/>
      <c r="CB127" s="179"/>
      <c r="CC127" s="179"/>
      <c r="CD127" s="179"/>
      <c r="CE127" s="179"/>
      <c r="CF127" s="179"/>
      <c r="CG127" s="179"/>
      <c r="CH127" s="179"/>
      <c r="CI127" s="179"/>
      <c r="CJ127" s="179"/>
      <c r="CK127" s="179"/>
      <c r="CL127" s="179"/>
      <c r="CM127" s="179"/>
      <c r="CN127" s="179"/>
      <c r="CO127" s="179"/>
      <c r="CP127" s="179"/>
      <c r="CQ127" s="179"/>
      <c r="CR127" s="179"/>
      <c r="CS127" s="179"/>
      <c r="CT127" s="179"/>
      <c r="CU127" s="179"/>
      <c r="CV127" s="179"/>
      <c r="CW127" s="179"/>
      <c r="CX127" s="179"/>
      <c r="CY127" s="179"/>
      <c r="CZ127" s="179"/>
      <c r="DA127" s="179"/>
      <c r="DB127" s="179"/>
      <c r="DC127" s="179"/>
      <c r="DD127" s="179"/>
      <c r="DE127" s="179"/>
      <c r="DF127" s="179"/>
      <c r="DG127" s="179"/>
      <c r="DH127" s="179"/>
      <c r="DI127" s="179"/>
      <c r="DJ127" s="179"/>
      <c r="DK127" s="179"/>
      <c r="DL127" s="179"/>
      <c r="DM127" s="179"/>
      <c r="DN127" s="179"/>
      <c r="DO127" s="179"/>
      <c r="DP127" s="179"/>
      <c r="DQ127" s="179"/>
      <c r="DR127" s="179"/>
      <c r="DS127" s="179"/>
      <c r="DT127" s="179"/>
      <c r="DU127" s="179"/>
      <c r="DV127" s="179"/>
      <c r="DW127" s="179"/>
      <c r="DX127" s="179"/>
      <c r="DY127" s="179"/>
      <c r="DZ127" s="179"/>
      <c r="EA127" s="179"/>
      <c r="EB127" s="179"/>
      <c r="EC127" s="179"/>
      <c r="ED127" s="179"/>
      <c r="EE127" s="179"/>
      <c r="EF127" s="179"/>
      <c r="EG127" s="179"/>
      <c r="EH127" s="179"/>
      <c r="EI127" s="179"/>
      <c r="EJ127" s="179"/>
      <c r="EK127" s="179"/>
      <c r="EL127" s="179"/>
      <c r="EM127" s="179"/>
      <c r="EN127" s="179"/>
      <c r="EO127" s="179"/>
      <c r="EP127" s="179"/>
      <c r="EQ127" s="179"/>
      <c r="ER127" s="179"/>
      <c r="ES127" s="179"/>
      <c r="ET127" s="179"/>
      <c r="EU127" s="179"/>
      <c r="EV127" s="179"/>
      <c r="EW127" s="179"/>
      <c r="EX127" s="179"/>
      <c r="EY127" s="179"/>
      <c r="EZ127" s="179"/>
      <c r="FA127" s="179"/>
      <c r="FB127" s="179"/>
      <c r="FC127" s="179"/>
      <c r="FD127" s="179"/>
      <c r="FE127" s="179"/>
      <c r="FF127" s="179"/>
      <c r="FG127" s="179"/>
      <c r="FH127" s="179"/>
      <c r="FI127" s="179"/>
      <c r="FJ127" s="179"/>
      <c r="FK127" s="179"/>
      <c r="FL127" s="179"/>
      <c r="FM127" s="179"/>
      <c r="FN127" s="179"/>
      <c r="FO127" s="179"/>
      <c r="FP127" s="179"/>
      <c r="FQ127" s="179"/>
      <c r="FR127" s="179"/>
      <c r="FS127" s="179"/>
      <c r="FT127" s="179"/>
      <c r="FU127" s="179"/>
      <c r="FV127" s="179"/>
      <c r="FW127" s="179"/>
      <c r="FX127" s="179"/>
      <c r="FY127" s="179"/>
      <c r="FZ127" s="179"/>
      <c r="GA127" s="179"/>
      <c r="GB127" s="179"/>
      <c r="GC127" s="179"/>
      <c r="GD127" s="179"/>
      <c r="GE127" s="179"/>
      <c r="GF127" s="179"/>
      <c r="GG127" s="179"/>
      <c r="GH127" s="179"/>
      <c r="GI127" s="179"/>
      <c r="GJ127" s="179"/>
      <c r="GK127" s="179"/>
      <c r="GL127" s="179"/>
      <c r="GM127" s="179"/>
      <c r="GN127" s="179"/>
      <c r="GO127" s="179"/>
      <c r="GP127" s="179"/>
      <c r="GQ127" s="179"/>
      <c r="GR127" s="179"/>
      <c r="GS127" s="179"/>
      <c r="GT127" s="179"/>
      <c r="GU127" s="179"/>
      <c r="GV127" s="179"/>
      <c r="GW127" s="179"/>
      <c r="GX127" s="179"/>
      <c r="GY127" s="179"/>
      <c r="GZ127" s="179"/>
      <c r="HA127" s="179"/>
      <c r="HB127" s="179"/>
      <c r="HC127" s="179"/>
      <c r="HD127" s="179"/>
      <c r="HE127" s="179"/>
      <c r="HF127" s="179"/>
      <c r="HG127" s="179"/>
      <c r="HH127" s="179"/>
      <c r="HI127" s="179"/>
      <c r="HJ127" s="179"/>
      <c r="HK127" s="179"/>
      <c r="HL127" s="179"/>
      <c r="HM127" s="179"/>
      <c r="HN127" s="179"/>
      <c r="HO127" s="179"/>
      <c r="HP127" s="179"/>
      <c r="HQ127" s="179"/>
      <c r="HR127" s="179"/>
      <c r="HS127" s="179"/>
      <c r="HT127" s="179"/>
      <c r="HU127" s="179"/>
      <c r="HV127" s="179"/>
      <c r="HW127" s="179"/>
      <c r="HX127" s="179"/>
      <c r="HY127" s="179"/>
      <c r="HZ127" s="179"/>
      <c r="IA127" s="179"/>
      <c r="IB127" s="179"/>
      <c r="IC127" s="179"/>
      <c r="ID127" s="179"/>
      <c r="IE127" s="179"/>
      <c r="IF127" s="179"/>
      <c r="IG127" s="179"/>
      <c r="IH127" s="179"/>
      <c r="II127" s="179"/>
      <c r="IJ127" s="179"/>
      <c r="IK127" s="179"/>
      <c r="IL127" s="179"/>
      <c r="IM127" s="179"/>
      <c r="IN127" s="179"/>
      <c r="IO127" s="179"/>
      <c r="IP127" s="179"/>
      <c r="IQ127" s="179"/>
      <c r="IR127" s="179"/>
    </row>
    <row r="128" spans="1:253">
      <c r="A128" s="218" t="s">
        <v>1598</v>
      </c>
      <c r="B128" s="193">
        <f>B125+B126+B127-B129</f>
        <v>549377.28999999992</v>
      </c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79"/>
      <c r="BW128" s="179"/>
      <c r="BX128" s="179"/>
      <c r="BY128" s="179"/>
      <c r="BZ128" s="179"/>
      <c r="CA128" s="179"/>
      <c r="CB128" s="179"/>
      <c r="CC128" s="179"/>
      <c r="CD128" s="179"/>
      <c r="CE128" s="179"/>
      <c r="CF128" s="179"/>
      <c r="CG128" s="179"/>
      <c r="CH128" s="179"/>
      <c r="CI128" s="179"/>
      <c r="CJ128" s="179"/>
      <c r="CK128" s="179"/>
      <c r="CL128" s="179"/>
      <c r="CM128" s="179"/>
      <c r="CN128" s="179"/>
      <c r="CO128" s="179"/>
      <c r="CP128" s="179"/>
      <c r="CQ128" s="179"/>
      <c r="CR128" s="179"/>
      <c r="CS128" s="179"/>
      <c r="CT128" s="179"/>
      <c r="CU128" s="179"/>
      <c r="CV128" s="179"/>
      <c r="CW128" s="179"/>
      <c r="CX128" s="179"/>
      <c r="CY128" s="179"/>
      <c r="CZ128" s="179"/>
      <c r="DA128" s="179"/>
      <c r="DB128" s="179"/>
      <c r="DC128" s="179"/>
      <c r="DD128" s="179"/>
      <c r="DE128" s="179"/>
      <c r="DF128" s="179"/>
      <c r="DG128" s="179"/>
      <c r="DH128" s="179"/>
      <c r="DI128" s="179"/>
      <c r="DJ128" s="179"/>
      <c r="DK128" s="179"/>
      <c r="DL128" s="179"/>
      <c r="DM128" s="179"/>
      <c r="DN128" s="179"/>
      <c r="DO128" s="179"/>
      <c r="DP128" s="179"/>
      <c r="DQ128" s="179"/>
      <c r="DR128" s="179"/>
      <c r="DS128" s="179"/>
      <c r="DT128" s="179"/>
      <c r="DU128" s="179"/>
      <c r="DV128" s="179"/>
      <c r="DW128" s="179"/>
      <c r="DX128" s="179"/>
      <c r="DY128" s="179"/>
      <c r="DZ128" s="179"/>
      <c r="EA128" s="179"/>
      <c r="EB128" s="179"/>
      <c r="EC128" s="179"/>
      <c r="ED128" s="179"/>
      <c r="EE128" s="179"/>
      <c r="EF128" s="179"/>
      <c r="EG128" s="179"/>
      <c r="EH128" s="179"/>
      <c r="EI128" s="179"/>
      <c r="EJ128" s="179"/>
      <c r="EK128" s="179"/>
      <c r="EL128" s="179"/>
      <c r="EM128" s="179"/>
      <c r="EN128" s="179"/>
      <c r="EO128" s="179"/>
      <c r="EP128" s="179"/>
      <c r="EQ128" s="179"/>
      <c r="ER128" s="179"/>
      <c r="ES128" s="179"/>
      <c r="ET128" s="179"/>
      <c r="EU128" s="179"/>
      <c r="EV128" s="179"/>
      <c r="EW128" s="179"/>
      <c r="EX128" s="179"/>
      <c r="EY128" s="179"/>
      <c r="EZ128" s="179"/>
      <c r="FA128" s="179"/>
      <c r="FB128" s="179"/>
      <c r="FC128" s="179"/>
      <c r="FD128" s="179"/>
      <c r="FE128" s="179"/>
      <c r="FF128" s="179"/>
      <c r="FG128" s="179"/>
      <c r="FH128" s="179"/>
      <c r="FI128" s="179"/>
      <c r="FJ128" s="179"/>
      <c r="FK128" s="179"/>
      <c r="FL128" s="179"/>
      <c r="FM128" s="179"/>
      <c r="FN128" s="179"/>
      <c r="FO128" s="179"/>
      <c r="FP128" s="179"/>
      <c r="FQ128" s="179"/>
      <c r="FR128" s="179"/>
      <c r="FS128" s="179"/>
      <c r="FT128" s="179"/>
      <c r="FU128" s="179"/>
      <c r="FV128" s="179"/>
      <c r="FW128" s="179"/>
      <c r="FX128" s="179"/>
      <c r="FY128" s="179"/>
      <c r="FZ128" s="179"/>
      <c r="GA128" s="179"/>
      <c r="GB128" s="179"/>
      <c r="GC128" s="179"/>
      <c r="GD128" s="179"/>
      <c r="GE128" s="179"/>
      <c r="GF128" s="179"/>
      <c r="GG128" s="179"/>
      <c r="GH128" s="179"/>
      <c r="GI128" s="179"/>
      <c r="GJ128" s="179"/>
      <c r="GK128" s="179"/>
      <c r="GL128" s="179"/>
      <c r="GM128" s="179"/>
      <c r="GN128" s="179"/>
      <c r="GO128" s="179"/>
      <c r="GP128" s="179"/>
      <c r="GQ128" s="179"/>
      <c r="GR128" s="179"/>
      <c r="GS128" s="179"/>
      <c r="GT128" s="179"/>
      <c r="GU128" s="179"/>
      <c r="GV128" s="179"/>
      <c r="GW128" s="179"/>
      <c r="GX128" s="179"/>
      <c r="GY128" s="179"/>
      <c r="GZ128" s="179"/>
      <c r="HA128" s="179"/>
      <c r="HB128" s="179"/>
      <c r="HC128" s="179"/>
      <c r="HD128" s="179"/>
      <c r="HE128" s="179"/>
      <c r="HF128" s="179"/>
      <c r="HG128" s="179"/>
      <c r="HH128" s="179"/>
      <c r="HI128" s="179"/>
      <c r="HJ128" s="179"/>
      <c r="HK128" s="179"/>
      <c r="HL128" s="179"/>
      <c r="HM128" s="179"/>
      <c r="HN128" s="179"/>
      <c r="HO128" s="179"/>
      <c r="HP128" s="179"/>
      <c r="HQ128" s="179"/>
      <c r="HR128" s="179"/>
      <c r="HS128" s="179"/>
      <c r="HT128" s="179"/>
      <c r="HU128" s="179"/>
      <c r="HV128" s="179"/>
      <c r="HW128" s="179"/>
      <c r="HX128" s="179"/>
      <c r="HY128" s="179"/>
      <c r="HZ128" s="179"/>
      <c r="IA128" s="179"/>
      <c r="IB128" s="179"/>
      <c r="IC128" s="179"/>
      <c r="ID128" s="179"/>
      <c r="IE128" s="179"/>
      <c r="IF128" s="179"/>
      <c r="IG128" s="179"/>
      <c r="IH128" s="179"/>
      <c r="II128" s="179"/>
      <c r="IJ128" s="179"/>
      <c r="IK128" s="179"/>
      <c r="IL128" s="179"/>
      <c r="IM128" s="179"/>
      <c r="IN128" s="179"/>
      <c r="IO128" s="179"/>
      <c r="IP128" s="179"/>
      <c r="IQ128" s="179"/>
      <c r="IR128" s="179"/>
    </row>
    <row r="129" spans="1:252">
      <c r="A129" s="218" t="s">
        <v>1597</v>
      </c>
      <c r="B129" s="193">
        <v>208814.17</v>
      </c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79"/>
      <c r="BV129" s="179"/>
      <c r="BW129" s="179"/>
      <c r="BX129" s="179"/>
      <c r="BY129" s="179"/>
      <c r="BZ129" s="179"/>
      <c r="CA129" s="179"/>
      <c r="CB129" s="179"/>
      <c r="CC129" s="179"/>
      <c r="CD129" s="179"/>
      <c r="CE129" s="179"/>
      <c r="CF129" s="179"/>
      <c r="CG129" s="179"/>
      <c r="CH129" s="179"/>
      <c r="CI129" s="179"/>
      <c r="CJ129" s="179"/>
      <c r="CK129" s="179"/>
      <c r="CL129" s="179"/>
      <c r="CM129" s="179"/>
      <c r="CN129" s="179"/>
      <c r="CO129" s="179"/>
      <c r="CP129" s="179"/>
      <c r="CQ129" s="179"/>
      <c r="CR129" s="179"/>
      <c r="CS129" s="179"/>
      <c r="CT129" s="179"/>
      <c r="CU129" s="179"/>
      <c r="CV129" s="179"/>
      <c r="CW129" s="179"/>
      <c r="CX129" s="179"/>
      <c r="CY129" s="179"/>
      <c r="CZ129" s="179"/>
      <c r="DA129" s="179"/>
      <c r="DB129" s="179"/>
      <c r="DC129" s="179"/>
      <c r="DD129" s="179"/>
      <c r="DE129" s="179"/>
      <c r="DF129" s="179"/>
      <c r="DG129" s="179"/>
      <c r="DH129" s="179"/>
      <c r="DI129" s="179"/>
      <c r="DJ129" s="179"/>
      <c r="DK129" s="179"/>
      <c r="DL129" s="179"/>
      <c r="DM129" s="179"/>
      <c r="DN129" s="179"/>
      <c r="DO129" s="179"/>
      <c r="DP129" s="179"/>
      <c r="DQ129" s="179"/>
      <c r="DR129" s="179"/>
      <c r="DS129" s="179"/>
      <c r="DT129" s="179"/>
      <c r="DU129" s="179"/>
      <c r="DV129" s="179"/>
      <c r="DW129" s="179"/>
      <c r="DX129" s="179"/>
      <c r="DY129" s="179"/>
      <c r="DZ129" s="179"/>
      <c r="EA129" s="179"/>
      <c r="EB129" s="179"/>
      <c r="EC129" s="179"/>
      <c r="ED129" s="179"/>
      <c r="EE129" s="179"/>
      <c r="EF129" s="179"/>
      <c r="EG129" s="179"/>
      <c r="EH129" s="179"/>
      <c r="EI129" s="179"/>
      <c r="EJ129" s="179"/>
      <c r="EK129" s="179"/>
      <c r="EL129" s="179"/>
      <c r="EM129" s="179"/>
      <c r="EN129" s="179"/>
      <c r="EO129" s="179"/>
      <c r="EP129" s="179"/>
      <c r="EQ129" s="179"/>
      <c r="ER129" s="179"/>
      <c r="ES129" s="179"/>
      <c r="ET129" s="179"/>
      <c r="EU129" s="179"/>
      <c r="EV129" s="179"/>
      <c r="EW129" s="179"/>
      <c r="EX129" s="179"/>
      <c r="EY129" s="179"/>
      <c r="EZ129" s="179"/>
      <c r="FA129" s="179"/>
      <c r="FB129" s="179"/>
      <c r="FC129" s="179"/>
      <c r="FD129" s="179"/>
      <c r="FE129" s="179"/>
      <c r="FF129" s="179"/>
      <c r="FG129" s="179"/>
      <c r="FH129" s="179"/>
      <c r="FI129" s="179"/>
      <c r="FJ129" s="179"/>
      <c r="FK129" s="179"/>
      <c r="FL129" s="179"/>
      <c r="FM129" s="179"/>
      <c r="FN129" s="179"/>
      <c r="FO129" s="179"/>
      <c r="FP129" s="179"/>
      <c r="FQ129" s="179"/>
      <c r="FR129" s="179"/>
      <c r="FS129" s="179"/>
      <c r="FT129" s="179"/>
      <c r="FU129" s="179"/>
      <c r="FV129" s="179"/>
      <c r="FW129" s="179"/>
      <c r="FX129" s="179"/>
      <c r="FY129" s="179"/>
      <c r="FZ129" s="179"/>
      <c r="GA129" s="179"/>
      <c r="GB129" s="179"/>
      <c r="GC129" s="179"/>
      <c r="GD129" s="179"/>
      <c r="GE129" s="179"/>
      <c r="GF129" s="179"/>
      <c r="GG129" s="179"/>
      <c r="GH129" s="179"/>
      <c r="GI129" s="179"/>
      <c r="GJ129" s="179"/>
      <c r="GK129" s="179"/>
      <c r="GL129" s="179"/>
      <c r="GM129" s="179"/>
      <c r="GN129" s="179"/>
      <c r="GO129" s="179"/>
      <c r="GP129" s="179"/>
      <c r="GQ129" s="179"/>
      <c r="GR129" s="179"/>
      <c r="GS129" s="179"/>
      <c r="GT129" s="179"/>
      <c r="GU129" s="179"/>
      <c r="GV129" s="179"/>
      <c r="GW129" s="179"/>
      <c r="GX129" s="179"/>
      <c r="GY129" s="179"/>
      <c r="GZ129" s="179"/>
      <c r="HA129" s="179"/>
      <c r="HB129" s="179"/>
      <c r="HC129" s="179"/>
      <c r="HD129" s="179"/>
      <c r="HE129" s="179"/>
      <c r="HF129" s="179"/>
      <c r="HG129" s="179"/>
      <c r="HH129" s="179"/>
      <c r="HI129" s="179"/>
      <c r="HJ129" s="179"/>
      <c r="HK129" s="179"/>
      <c r="HL129" s="179"/>
      <c r="HM129" s="179"/>
      <c r="HN129" s="179"/>
      <c r="HO129" s="179"/>
      <c r="HP129" s="179"/>
      <c r="HQ129" s="179"/>
      <c r="HR129" s="179"/>
      <c r="HS129" s="179"/>
      <c r="HT129" s="179"/>
      <c r="HU129" s="179"/>
      <c r="HV129" s="179"/>
      <c r="HW129" s="179"/>
      <c r="HX129" s="179"/>
      <c r="HY129" s="179"/>
      <c r="HZ129" s="179"/>
      <c r="IA129" s="179"/>
      <c r="IB129" s="179"/>
      <c r="IC129" s="179"/>
      <c r="ID129" s="179"/>
      <c r="IE129" s="179"/>
      <c r="IF129" s="179"/>
      <c r="IG129" s="179"/>
      <c r="IH129" s="179"/>
      <c r="II129" s="179"/>
      <c r="IJ129" s="179"/>
      <c r="IK129" s="179"/>
      <c r="IL129" s="179"/>
      <c r="IM129" s="179"/>
      <c r="IN129" s="179"/>
      <c r="IO129" s="179"/>
      <c r="IP129" s="179"/>
      <c r="IQ129" s="179"/>
      <c r="IR129" s="179"/>
    </row>
    <row r="130" spans="1:252" ht="29.25" customHeight="1">
      <c r="A130" s="216" t="s">
        <v>2025</v>
      </c>
      <c r="B130" s="196">
        <f>B128</f>
        <v>549377.28999999992</v>
      </c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79"/>
      <c r="CH130" s="179"/>
      <c r="CI130" s="179"/>
      <c r="CJ130" s="179"/>
      <c r="CK130" s="179"/>
      <c r="CL130" s="179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79"/>
      <c r="DE130" s="179"/>
      <c r="DF130" s="179"/>
      <c r="DG130" s="179"/>
      <c r="DH130" s="179"/>
      <c r="DI130" s="179"/>
      <c r="DJ130" s="179"/>
      <c r="DK130" s="179"/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/>
      <c r="DY130" s="179"/>
      <c r="DZ130" s="179"/>
      <c r="EA130" s="179"/>
      <c r="EB130" s="179"/>
      <c r="EC130" s="179"/>
      <c r="ED130" s="179"/>
      <c r="EE130" s="179"/>
      <c r="EF130" s="179"/>
      <c r="EG130" s="179"/>
      <c r="EH130" s="179"/>
      <c r="EI130" s="179"/>
      <c r="EJ130" s="179"/>
      <c r="EK130" s="179"/>
      <c r="EL130" s="179"/>
      <c r="EM130" s="179"/>
      <c r="EN130" s="179"/>
      <c r="EO130" s="179"/>
      <c r="EP130" s="179"/>
      <c r="EQ130" s="179"/>
      <c r="ER130" s="179"/>
      <c r="ES130" s="179"/>
      <c r="ET130" s="179"/>
      <c r="EU130" s="179"/>
      <c r="EV130" s="179"/>
      <c r="EW130" s="179"/>
      <c r="EX130" s="179"/>
      <c r="EY130" s="179"/>
      <c r="EZ130" s="179"/>
      <c r="FA130" s="179"/>
      <c r="FB130" s="179"/>
      <c r="FC130" s="179"/>
      <c r="FD130" s="179"/>
      <c r="FE130" s="179"/>
      <c r="FF130" s="179"/>
      <c r="FG130" s="179"/>
      <c r="FH130" s="179"/>
      <c r="FI130" s="179"/>
      <c r="FJ130" s="179"/>
      <c r="FK130" s="179"/>
      <c r="FL130" s="179"/>
      <c r="FM130" s="179"/>
      <c r="FN130" s="179"/>
      <c r="FO130" s="179"/>
      <c r="FP130" s="179"/>
      <c r="FQ130" s="179"/>
      <c r="FR130" s="179"/>
      <c r="FS130" s="179"/>
      <c r="FT130" s="179"/>
      <c r="FU130" s="179"/>
      <c r="FV130" s="179"/>
      <c r="FW130" s="179"/>
      <c r="FX130" s="179"/>
      <c r="FY130" s="179"/>
      <c r="FZ130" s="179"/>
      <c r="GA130" s="179"/>
      <c r="GB130" s="179"/>
      <c r="GC130" s="179"/>
      <c r="GD130" s="179"/>
      <c r="GE130" s="179"/>
      <c r="GF130" s="179"/>
      <c r="GG130" s="179"/>
      <c r="GH130" s="179"/>
      <c r="GI130" s="179"/>
      <c r="GJ130" s="179"/>
      <c r="GK130" s="179"/>
      <c r="GL130" s="179"/>
      <c r="GM130" s="179"/>
      <c r="GN130" s="179"/>
      <c r="GO130" s="179"/>
      <c r="GP130" s="179"/>
      <c r="GQ130" s="179"/>
      <c r="GR130" s="179"/>
      <c r="GS130" s="179"/>
      <c r="GT130" s="179"/>
      <c r="GU130" s="179"/>
      <c r="GV130" s="179"/>
      <c r="GW130" s="179"/>
      <c r="GX130" s="179"/>
      <c r="GY130" s="179"/>
      <c r="GZ130" s="179"/>
      <c r="HA130" s="179"/>
      <c r="HB130" s="179"/>
      <c r="HC130" s="179"/>
      <c r="HD130" s="179"/>
      <c r="HE130" s="179"/>
      <c r="HF130" s="179"/>
      <c r="HG130" s="179"/>
      <c r="HH130" s="179"/>
      <c r="HI130" s="179"/>
      <c r="HJ130" s="179"/>
      <c r="HK130" s="179"/>
      <c r="HL130" s="179"/>
      <c r="HM130" s="179"/>
      <c r="HN130" s="179"/>
      <c r="HO130" s="179"/>
      <c r="HP130" s="179"/>
      <c r="HQ130" s="179"/>
      <c r="HR130" s="179"/>
      <c r="HS130" s="179"/>
      <c r="HT130" s="179"/>
      <c r="HU130" s="179"/>
      <c r="HV130" s="179"/>
      <c r="HW130" s="179"/>
      <c r="HX130" s="179"/>
      <c r="HY130" s="179"/>
      <c r="HZ130" s="179"/>
      <c r="IA130" s="179"/>
      <c r="IB130" s="179"/>
      <c r="IC130" s="179"/>
      <c r="ID130" s="179"/>
      <c r="IE130" s="179"/>
      <c r="IF130" s="179"/>
      <c r="IG130" s="179"/>
      <c r="IH130" s="179"/>
      <c r="II130" s="179"/>
      <c r="IJ130" s="179"/>
      <c r="IK130" s="179"/>
      <c r="IL130" s="179"/>
      <c r="IM130" s="179"/>
      <c r="IN130" s="179"/>
      <c r="IO130" s="179"/>
      <c r="IP130" s="179"/>
      <c r="IQ130" s="179"/>
      <c r="IR130" s="179"/>
    </row>
    <row r="131" spans="1:252">
      <c r="A131" s="179"/>
      <c r="B131" s="213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9"/>
      <c r="BW131" s="179"/>
      <c r="BX131" s="179"/>
      <c r="BY131" s="179"/>
      <c r="BZ131" s="179"/>
      <c r="CA131" s="179"/>
      <c r="CB131" s="179"/>
      <c r="CC131" s="179"/>
      <c r="CD131" s="179"/>
      <c r="CE131" s="179"/>
      <c r="CF131" s="179"/>
      <c r="CG131" s="179"/>
      <c r="CH131" s="179"/>
      <c r="CI131" s="179"/>
      <c r="CJ131" s="179"/>
      <c r="CK131" s="179"/>
      <c r="CL131" s="179"/>
      <c r="CM131" s="179"/>
      <c r="CN131" s="179"/>
      <c r="CO131" s="179"/>
      <c r="CP131" s="179"/>
      <c r="CQ131" s="179"/>
      <c r="CR131" s="179"/>
      <c r="CS131" s="179"/>
      <c r="CT131" s="179"/>
      <c r="CU131" s="179"/>
      <c r="CV131" s="179"/>
      <c r="CW131" s="179"/>
      <c r="CX131" s="179"/>
      <c r="CY131" s="179"/>
      <c r="CZ131" s="179"/>
      <c r="DA131" s="179"/>
      <c r="DB131" s="179"/>
      <c r="DC131" s="179"/>
      <c r="DD131" s="179"/>
      <c r="DE131" s="179"/>
      <c r="DF131" s="179"/>
      <c r="DG131" s="179"/>
      <c r="DH131" s="179"/>
      <c r="DI131" s="179"/>
      <c r="DJ131" s="179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79"/>
      <c r="EB131" s="179"/>
      <c r="EC131" s="179"/>
      <c r="ED131" s="179"/>
      <c r="EE131" s="179"/>
      <c r="EF131" s="179"/>
      <c r="EG131" s="179"/>
      <c r="EH131" s="179"/>
      <c r="EI131" s="179"/>
      <c r="EJ131" s="179"/>
      <c r="EK131" s="179"/>
      <c r="EL131" s="179"/>
      <c r="EM131" s="179"/>
      <c r="EN131" s="179"/>
      <c r="EO131" s="179"/>
      <c r="EP131" s="179"/>
      <c r="EQ131" s="179"/>
      <c r="ER131" s="179"/>
      <c r="ES131" s="179"/>
      <c r="ET131" s="179"/>
      <c r="EU131" s="179"/>
      <c r="EV131" s="179"/>
      <c r="EW131" s="179"/>
      <c r="EX131" s="179"/>
      <c r="EY131" s="179"/>
      <c r="EZ131" s="179"/>
      <c r="FA131" s="179"/>
      <c r="FB131" s="179"/>
      <c r="FC131" s="179"/>
      <c r="FD131" s="179"/>
      <c r="FE131" s="179"/>
      <c r="FF131" s="179"/>
      <c r="FG131" s="179"/>
      <c r="FH131" s="179"/>
      <c r="FI131" s="179"/>
      <c r="FJ131" s="179"/>
      <c r="FK131" s="179"/>
      <c r="FL131" s="179"/>
      <c r="FM131" s="179"/>
      <c r="FN131" s="179"/>
      <c r="FO131" s="179"/>
      <c r="FP131" s="179"/>
      <c r="FQ131" s="179"/>
      <c r="FR131" s="179"/>
      <c r="FS131" s="179"/>
      <c r="FT131" s="179"/>
      <c r="FU131" s="179"/>
      <c r="FV131" s="179"/>
      <c r="FW131" s="179"/>
      <c r="FX131" s="179"/>
      <c r="FY131" s="179"/>
      <c r="FZ131" s="179"/>
      <c r="GA131" s="179"/>
      <c r="GB131" s="179"/>
      <c r="GC131" s="179"/>
      <c r="GD131" s="179"/>
      <c r="GE131" s="179"/>
      <c r="GF131" s="179"/>
      <c r="GG131" s="179"/>
      <c r="GH131" s="179"/>
      <c r="GI131" s="179"/>
      <c r="GJ131" s="179"/>
      <c r="GK131" s="179"/>
      <c r="GL131" s="179"/>
      <c r="GM131" s="179"/>
      <c r="GN131" s="179"/>
      <c r="GO131" s="179"/>
      <c r="GP131" s="179"/>
      <c r="GQ131" s="179"/>
      <c r="GR131" s="179"/>
      <c r="GS131" s="179"/>
      <c r="GT131" s="179"/>
      <c r="GU131" s="179"/>
      <c r="GV131" s="179"/>
      <c r="GW131" s="179"/>
      <c r="GX131" s="179"/>
      <c r="GY131" s="179"/>
      <c r="GZ131" s="179"/>
      <c r="HA131" s="179"/>
      <c r="HB131" s="179"/>
      <c r="HC131" s="179"/>
      <c r="HD131" s="179"/>
      <c r="HE131" s="179"/>
      <c r="HF131" s="179"/>
      <c r="HG131" s="179"/>
      <c r="HH131" s="179"/>
      <c r="HI131" s="179"/>
      <c r="HJ131" s="179"/>
      <c r="HK131" s="179"/>
      <c r="HL131" s="179"/>
      <c r="HM131" s="179"/>
      <c r="HN131" s="179"/>
      <c r="HO131" s="179"/>
      <c r="HP131" s="179"/>
      <c r="HQ131" s="179"/>
      <c r="HR131" s="179"/>
      <c r="HS131" s="179"/>
      <c r="HT131" s="179"/>
      <c r="HU131" s="179"/>
      <c r="HV131" s="179"/>
      <c r="HW131" s="179"/>
      <c r="HX131" s="179"/>
      <c r="HY131" s="179"/>
      <c r="HZ131" s="179"/>
      <c r="IA131" s="179"/>
      <c r="IB131" s="179"/>
      <c r="IC131" s="179"/>
      <c r="ID131" s="179"/>
      <c r="IE131" s="179"/>
      <c r="IF131" s="179"/>
      <c r="IG131" s="179"/>
      <c r="IH131" s="179"/>
      <c r="II131" s="179"/>
      <c r="IJ131" s="179"/>
      <c r="IK131" s="179"/>
      <c r="IL131" s="179"/>
      <c r="IM131" s="179"/>
      <c r="IN131" s="179"/>
      <c r="IO131" s="179"/>
      <c r="IP131" s="179"/>
      <c r="IQ131" s="179"/>
      <c r="IR131" s="179"/>
    </row>
    <row r="132" spans="1:252">
      <c r="A132" s="324" t="s">
        <v>1600</v>
      </c>
      <c r="B132" s="198">
        <f>B134+B136+B137+B138+B140+B142+B141+B135</f>
        <v>456374.92095092533</v>
      </c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  <c r="BI132" s="179"/>
      <c r="BJ132" s="179"/>
      <c r="BK132" s="179"/>
      <c r="BL132" s="179"/>
      <c r="BM132" s="179"/>
      <c r="BN132" s="179"/>
      <c r="BO132" s="179"/>
      <c r="BP132" s="179"/>
      <c r="BQ132" s="179"/>
      <c r="BR132" s="179"/>
      <c r="BS132" s="179"/>
      <c r="BT132" s="179"/>
      <c r="BU132" s="179"/>
      <c r="BV132" s="179"/>
      <c r="BW132" s="179"/>
      <c r="BX132" s="179"/>
      <c r="BY132" s="179"/>
      <c r="BZ132" s="179"/>
      <c r="CA132" s="179"/>
      <c r="CB132" s="179"/>
      <c r="CC132" s="179"/>
      <c r="CD132" s="179"/>
      <c r="CE132" s="179"/>
      <c r="CF132" s="179"/>
      <c r="CG132" s="179"/>
      <c r="CH132" s="179"/>
      <c r="CI132" s="179"/>
      <c r="CJ132" s="179"/>
      <c r="CK132" s="179"/>
      <c r="CL132" s="179"/>
      <c r="CM132" s="179"/>
      <c r="CN132" s="179"/>
      <c r="CO132" s="179"/>
      <c r="CP132" s="179"/>
      <c r="CQ132" s="179"/>
      <c r="CR132" s="179"/>
      <c r="CS132" s="179"/>
      <c r="CT132" s="179"/>
      <c r="CU132" s="179"/>
      <c r="CV132" s="179"/>
      <c r="CW132" s="179"/>
      <c r="CX132" s="179"/>
      <c r="CY132" s="179"/>
      <c r="CZ132" s="179"/>
      <c r="DA132" s="179"/>
      <c r="DB132" s="179"/>
      <c r="DC132" s="179"/>
      <c r="DD132" s="179"/>
      <c r="DE132" s="179"/>
      <c r="DF132" s="179"/>
      <c r="DG132" s="179"/>
      <c r="DH132" s="179"/>
      <c r="DI132" s="179"/>
      <c r="DJ132" s="179"/>
      <c r="DK132" s="179"/>
      <c r="DL132" s="179"/>
      <c r="DM132" s="179"/>
      <c r="DN132" s="179"/>
      <c r="DO132" s="179"/>
      <c r="DP132" s="179"/>
      <c r="DQ132" s="179"/>
      <c r="DR132" s="179"/>
      <c r="DS132" s="179"/>
      <c r="DT132" s="179"/>
      <c r="DU132" s="179"/>
      <c r="DV132" s="179"/>
      <c r="DW132" s="179"/>
      <c r="DX132" s="179"/>
      <c r="DY132" s="179"/>
      <c r="DZ132" s="179"/>
      <c r="EA132" s="179"/>
      <c r="EB132" s="179"/>
      <c r="EC132" s="179"/>
      <c r="ED132" s="179"/>
      <c r="EE132" s="179"/>
      <c r="EF132" s="179"/>
      <c r="EG132" s="179"/>
      <c r="EH132" s="179"/>
      <c r="EI132" s="179"/>
      <c r="EJ132" s="179"/>
      <c r="EK132" s="179"/>
      <c r="EL132" s="179"/>
      <c r="EM132" s="179"/>
      <c r="EN132" s="179"/>
      <c r="EO132" s="179"/>
      <c r="EP132" s="179"/>
      <c r="EQ132" s="179"/>
      <c r="ER132" s="179"/>
      <c r="ES132" s="179"/>
      <c r="ET132" s="179"/>
      <c r="EU132" s="179"/>
      <c r="EV132" s="179"/>
      <c r="EW132" s="179"/>
      <c r="EX132" s="179"/>
      <c r="EY132" s="179"/>
      <c r="EZ132" s="179"/>
      <c r="FA132" s="179"/>
      <c r="FB132" s="179"/>
      <c r="FC132" s="179"/>
      <c r="FD132" s="179"/>
      <c r="FE132" s="179"/>
      <c r="FF132" s="179"/>
      <c r="FG132" s="179"/>
      <c r="FH132" s="179"/>
      <c r="FI132" s="179"/>
      <c r="FJ132" s="179"/>
      <c r="FK132" s="179"/>
      <c r="FL132" s="179"/>
      <c r="FM132" s="179"/>
      <c r="FN132" s="179"/>
      <c r="FO132" s="179"/>
      <c r="FP132" s="179"/>
      <c r="FQ132" s="179"/>
      <c r="FR132" s="179"/>
      <c r="FS132" s="179"/>
      <c r="FT132" s="179"/>
      <c r="FU132" s="179"/>
      <c r="FV132" s="179"/>
      <c r="FW132" s="179"/>
      <c r="FX132" s="179"/>
      <c r="FY132" s="179"/>
      <c r="FZ132" s="179"/>
      <c r="GA132" s="179"/>
      <c r="GB132" s="179"/>
      <c r="GC132" s="179"/>
      <c r="GD132" s="179"/>
      <c r="GE132" s="179"/>
      <c r="GF132" s="179"/>
      <c r="GG132" s="179"/>
      <c r="GH132" s="179"/>
      <c r="GI132" s="179"/>
      <c r="GJ132" s="179"/>
      <c r="GK132" s="179"/>
      <c r="GL132" s="179"/>
      <c r="GM132" s="179"/>
      <c r="GN132" s="179"/>
      <c r="GO132" s="179"/>
      <c r="GP132" s="179"/>
      <c r="GQ132" s="179"/>
      <c r="GR132" s="179"/>
      <c r="GS132" s="179"/>
      <c r="GT132" s="179"/>
      <c r="GU132" s="179"/>
      <c r="GV132" s="179"/>
      <c r="GW132" s="179"/>
      <c r="GX132" s="179"/>
      <c r="GY132" s="179"/>
      <c r="GZ132" s="179"/>
      <c r="HA132" s="179"/>
      <c r="HB132" s="179"/>
      <c r="HC132" s="179"/>
      <c r="HD132" s="179"/>
      <c r="HE132" s="179"/>
      <c r="HF132" s="179"/>
      <c r="HG132" s="179"/>
      <c r="HH132" s="179"/>
      <c r="HI132" s="179"/>
      <c r="HJ132" s="179"/>
      <c r="HK132" s="179"/>
      <c r="HL132" s="179"/>
      <c r="HM132" s="179"/>
      <c r="HN132" s="179"/>
      <c r="HO132" s="179"/>
      <c r="HP132" s="179"/>
      <c r="HQ132" s="179"/>
      <c r="HR132" s="179"/>
      <c r="HS132" s="179"/>
      <c r="HT132" s="179"/>
      <c r="HU132" s="179"/>
      <c r="HV132" s="179"/>
      <c r="HW132" s="179"/>
      <c r="HX132" s="179"/>
      <c r="HY132" s="179"/>
      <c r="HZ132" s="179"/>
      <c r="IA132" s="179"/>
      <c r="IB132" s="179"/>
      <c r="IC132" s="179"/>
      <c r="ID132" s="179"/>
      <c r="IE132" s="179"/>
      <c r="IF132" s="179"/>
      <c r="IG132" s="179"/>
      <c r="IH132" s="179"/>
      <c r="II132" s="179"/>
      <c r="IJ132" s="179"/>
      <c r="IK132" s="179"/>
      <c r="IL132" s="179"/>
      <c r="IM132" s="179"/>
      <c r="IN132" s="179"/>
      <c r="IO132" s="179"/>
      <c r="IP132" s="179"/>
      <c r="IQ132" s="179"/>
      <c r="IR132" s="179"/>
    </row>
    <row r="133" spans="1:252">
      <c r="A133" s="325" t="s">
        <v>599</v>
      </c>
      <c r="B133" s="193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  <c r="BI133" s="179"/>
      <c r="BJ133" s="179"/>
      <c r="BK133" s="179"/>
      <c r="BL133" s="179"/>
      <c r="BM133" s="179"/>
      <c r="BN133" s="179"/>
      <c r="BO133" s="179"/>
      <c r="BP133" s="179"/>
      <c r="BQ133" s="179"/>
      <c r="BR133" s="179"/>
      <c r="BS133" s="179"/>
      <c r="BT133" s="179"/>
      <c r="BU133" s="179"/>
      <c r="BV133" s="179"/>
      <c r="BW133" s="179"/>
      <c r="BX133" s="179"/>
      <c r="BY133" s="179"/>
      <c r="BZ133" s="179"/>
      <c r="CA133" s="179"/>
      <c r="CB133" s="179"/>
      <c r="CC133" s="179"/>
      <c r="CD133" s="179"/>
      <c r="CE133" s="179"/>
      <c r="CF133" s="179"/>
      <c r="CG133" s="179"/>
      <c r="CH133" s="179"/>
      <c r="CI133" s="179"/>
      <c r="CJ133" s="179"/>
      <c r="CK133" s="179"/>
      <c r="CL133" s="179"/>
      <c r="CM133" s="179"/>
      <c r="CN133" s="179"/>
      <c r="CO133" s="179"/>
      <c r="CP133" s="179"/>
      <c r="CQ133" s="179"/>
      <c r="CR133" s="179"/>
      <c r="CS133" s="179"/>
      <c r="CT133" s="179"/>
      <c r="CU133" s="179"/>
      <c r="CV133" s="179"/>
      <c r="CW133" s="179"/>
      <c r="CX133" s="179"/>
      <c r="CY133" s="179"/>
      <c r="CZ133" s="179"/>
      <c r="DA133" s="179"/>
      <c r="DB133" s="179"/>
      <c r="DC133" s="179"/>
      <c r="DD133" s="179"/>
      <c r="DE133" s="179"/>
      <c r="DF133" s="179"/>
      <c r="DG133" s="179"/>
      <c r="DH133" s="179"/>
      <c r="DI133" s="179"/>
      <c r="DJ133" s="179"/>
      <c r="DK133" s="179"/>
      <c r="DL133" s="179"/>
      <c r="DM133" s="179"/>
      <c r="DN133" s="179"/>
      <c r="DO133" s="179"/>
      <c r="DP133" s="179"/>
      <c r="DQ133" s="179"/>
      <c r="DR133" s="179"/>
      <c r="DS133" s="179"/>
      <c r="DT133" s="179"/>
      <c r="DU133" s="179"/>
      <c r="DV133" s="179"/>
      <c r="DW133" s="179"/>
      <c r="DX133" s="179"/>
      <c r="DY133" s="179"/>
      <c r="DZ133" s="179"/>
      <c r="EA133" s="179"/>
      <c r="EB133" s="179"/>
      <c r="EC133" s="179"/>
      <c r="ED133" s="179"/>
      <c r="EE133" s="179"/>
      <c r="EF133" s="179"/>
      <c r="EG133" s="179"/>
      <c r="EH133" s="179"/>
      <c r="EI133" s="179"/>
      <c r="EJ133" s="179"/>
      <c r="EK133" s="179"/>
      <c r="EL133" s="179"/>
      <c r="EM133" s="179"/>
      <c r="EN133" s="179"/>
      <c r="EO133" s="179"/>
      <c r="EP133" s="179"/>
      <c r="EQ133" s="179"/>
      <c r="ER133" s="179"/>
      <c r="ES133" s="179"/>
      <c r="ET133" s="179"/>
      <c r="EU133" s="179"/>
      <c r="EV133" s="179"/>
      <c r="EW133" s="179"/>
      <c r="EX133" s="179"/>
      <c r="EY133" s="179"/>
      <c r="EZ133" s="179"/>
      <c r="FA133" s="179"/>
      <c r="FB133" s="179"/>
      <c r="FC133" s="179"/>
      <c r="FD133" s="179"/>
      <c r="FE133" s="179"/>
      <c r="FF133" s="179"/>
      <c r="FG133" s="179"/>
      <c r="FH133" s="179"/>
      <c r="FI133" s="179"/>
      <c r="FJ133" s="179"/>
      <c r="FK133" s="179"/>
      <c r="FL133" s="179"/>
      <c r="FM133" s="179"/>
      <c r="FN133" s="179"/>
      <c r="FO133" s="179"/>
      <c r="FP133" s="179"/>
      <c r="FQ133" s="179"/>
      <c r="FR133" s="179"/>
      <c r="FS133" s="179"/>
      <c r="FT133" s="179"/>
      <c r="FU133" s="179"/>
      <c r="FV133" s="179"/>
      <c r="FW133" s="179"/>
      <c r="FX133" s="179"/>
      <c r="FY133" s="179"/>
      <c r="FZ133" s="179"/>
      <c r="GA133" s="179"/>
      <c r="GB133" s="179"/>
      <c r="GC133" s="179"/>
      <c r="GD133" s="179"/>
      <c r="GE133" s="179"/>
      <c r="GF133" s="179"/>
      <c r="GG133" s="179"/>
      <c r="GH133" s="179"/>
      <c r="GI133" s="179"/>
      <c r="GJ133" s="179"/>
      <c r="GK133" s="179"/>
      <c r="GL133" s="179"/>
      <c r="GM133" s="179"/>
      <c r="GN133" s="179"/>
      <c r="GO133" s="179"/>
      <c r="GP133" s="179"/>
      <c r="GQ133" s="179"/>
      <c r="GR133" s="179"/>
      <c r="GS133" s="179"/>
      <c r="GT133" s="179"/>
      <c r="GU133" s="179"/>
      <c r="GV133" s="179"/>
      <c r="GW133" s="179"/>
      <c r="GX133" s="179"/>
      <c r="GY133" s="179"/>
      <c r="GZ133" s="179"/>
      <c r="HA133" s="179"/>
      <c r="HB133" s="179"/>
      <c r="HC133" s="179"/>
      <c r="HD133" s="179"/>
      <c r="HE133" s="179"/>
      <c r="HF133" s="179"/>
      <c r="HG133" s="179"/>
      <c r="HH133" s="179"/>
      <c r="HI133" s="179"/>
      <c r="HJ133" s="179"/>
      <c r="HK133" s="179"/>
      <c r="HL133" s="179"/>
      <c r="HM133" s="179"/>
      <c r="HN133" s="179"/>
      <c r="HO133" s="179"/>
      <c r="HP133" s="179"/>
      <c r="HQ133" s="179"/>
      <c r="HR133" s="179"/>
      <c r="HS133" s="179"/>
      <c r="HT133" s="179"/>
      <c r="HU133" s="179"/>
      <c r="HV133" s="179"/>
      <c r="HW133" s="179"/>
      <c r="HX133" s="179"/>
      <c r="HY133" s="179"/>
      <c r="HZ133" s="179"/>
      <c r="IA133" s="179"/>
      <c r="IB133" s="179"/>
      <c r="IC133" s="179"/>
      <c r="ID133" s="179"/>
      <c r="IE133" s="179"/>
      <c r="IF133" s="179"/>
      <c r="IG133" s="179"/>
      <c r="IH133" s="179"/>
      <c r="II133" s="179"/>
      <c r="IJ133" s="179"/>
      <c r="IK133" s="179"/>
      <c r="IL133" s="179"/>
      <c r="IM133" s="179"/>
      <c r="IN133" s="179"/>
      <c r="IO133" s="179"/>
      <c r="IP133" s="179"/>
      <c r="IQ133" s="179"/>
      <c r="IR133" s="179"/>
    </row>
    <row r="134" spans="1:252" s="466" customFormat="1">
      <c r="A134" s="325" t="s">
        <v>521</v>
      </c>
      <c r="B134" s="194">
        <f>959300/45797.5*B123*1.5</f>
        <v>82869.820950925263</v>
      </c>
      <c r="C134" s="465"/>
      <c r="D134" s="465"/>
      <c r="E134" s="465"/>
      <c r="F134" s="465"/>
      <c r="G134" s="465"/>
      <c r="H134" s="465"/>
      <c r="I134" s="465"/>
      <c r="J134" s="465"/>
      <c r="K134" s="465"/>
      <c r="L134" s="465"/>
      <c r="M134" s="465"/>
      <c r="N134" s="465"/>
      <c r="O134" s="465"/>
      <c r="P134" s="465"/>
      <c r="Q134" s="465"/>
      <c r="R134" s="465"/>
      <c r="S134" s="465"/>
      <c r="T134" s="465"/>
      <c r="U134" s="465"/>
      <c r="V134" s="465"/>
      <c r="W134" s="465"/>
      <c r="X134" s="465"/>
      <c r="Y134" s="465"/>
      <c r="Z134" s="465"/>
      <c r="AA134" s="465"/>
      <c r="AB134" s="465"/>
      <c r="AC134" s="465"/>
      <c r="AD134" s="465"/>
      <c r="AE134" s="465"/>
      <c r="AF134" s="465"/>
      <c r="AG134" s="465"/>
      <c r="AH134" s="465"/>
      <c r="AI134" s="465"/>
      <c r="AJ134" s="465"/>
      <c r="AK134" s="465"/>
      <c r="AL134" s="465"/>
      <c r="AM134" s="465"/>
      <c r="AN134" s="465"/>
      <c r="AO134" s="465"/>
      <c r="AP134" s="465"/>
      <c r="AQ134" s="465"/>
      <c r="AR134" s="465"/>
      <c r="AS134" s="465"/>
      <c r="AT134" s="465"/>
      <c r="AU134" s="465"/>
      <c r="AV134" s="465"/>
      <c r="AW134" s="465"/>
      <c r="AX134" s="465"/>
      <c r="AY134" s="465"/>
      <c r="AZ134" s="465"/>
      <c r="BA134" s="465"/>
      <c r="BB134" s="465"/>
      <c r="BC134" s="465"/>
      <c r="BD134" s="465"/>
      <c r="BE134" s="465"/>
      <c r="BF134" s="465"/>
      <c r="BG134" s="465"/>
      <c r="BH134" s="465"/>
      <c r="BI134" s="465"/>
      <c r="BJ134" s="465"/>
      <c r="BK134" s="465"/>
      <c r="BL134" s="465"/>
      <c r="BM134" s="465"/>
      <c r="BN134" s="465"/>
      <c r="BO134" s="465"/>
      <c r="BP134" s="465"/>
      <c r="BQ134" s="465"/>
      <c r="BR134" s="465"/>
      <c r="BS134" s="465"/>
      <c r="BT134" s="465"/>
      <c r="BU134" s="465"/>
      <c r="BV134" s="465"/>
      <c r="BW134" s="465"/>
      <c r="BX134" s="465"/>
      <c r="BY134" s="465"/>
      <c r="BZ134" s="465"/>
      <c r="CA134" s="465"/>
      <c r="CB134" s="465"/>
      <c r="CC134" s="465"/>
      <c r="CD134" s="465"/>
      <c r="CE134" s="465"/>
      <c r="CF134" s="465"/>
      <c r="CG134" s="465"/>
      <c r="CH134" s="465"/>
      <c r="CI134" s="465"/>
      <c r="CJ134" s="465"/>
      <c r="CK134" s="465"/>
      <c r="CL134" s="465"/>
      <c r="CM134" s="465"/>
      <c r="CN134" s="465"/>
      <c r="CO134" s="465"/>
      <c r="CP134" s="465"/>
      <c r="CQ134" s="465"/>
      <c r="CR134" s="465"/>
      <c r="CS134" s="465"/>
      <c r="CT134" s="465"/>
      <c r="CU134" s="465"/>
      <c r="CV134" s="465"/>
      <c r="CW134" s="465"/>
      <c r="CX134" s="465"/>
      <c r="CY134" s="465"/>
      <c r="CZ134" s="465"/>
      <c r="DA134" s="465"/>
      <c r="DB134" s="465"/>
      <c r="DC134" s="465"/>
      <c r="DD134" s="465"/>
      <c r="DE134" s="465"/>
      <c r="DF134" s="465"/>
      <c r="DG134" s="465"/>
      <c r="DH134" s="465"/>
      <c r="DI134" s="465"/>
      <c r="DJ134" s="465"/>
      <c r="DK134" s="465"/>
      <c r="DL134" s="465"/>
      <c r="DM134" s="465"/>
      <c r="DN134" s="465"/>
      <c r="DO134" s="465"/>
      <c r="DP134" s="465"/>
      <c r="DQ134" s="465"/>
      <c r="DR134" s="465"/>
      <c r="DS134" s="465"/>
      <c r="DT134" s="465"/>
      <c r="DU134" s="465"/>
      <c r="DV134" s="465"/>
      <c r="DW134" s="465"/>
      <c r="DX134" s="465"/>
      <c r="DY134" s="465"/>
      <c r="DZ134" s="465"/>
      <c r="EA134" s="465"/>
      <c r="EB134" s="465"/>
      <c r="EC134" s="465"/>
      <c r="ED134" s="465"/>
      <c r="EE134" s="465"/>
      <c r="EF134" s="465"/>
      <c r="EG134" s="465"/>
      <c r="EH134" s="465"/>
      <c r="EI134" s="465"/>
      <c r="EJ134" s="465"/>
      <c r="EK134" s="465"/>
      <c r="EL134" s="465"/>
      <c r="EM134" s="465"/>
      <c r="EN134" s="465"/>
      <c r="EO134" s="465"/>
      <c r="EP134" s="465"/>
      <c r="EQ134" s="465"/>
      <c r="ER134" s="465"/>
      <c r="ES134" s="465"/>
      <c r="ET134" s="465"/>
      <c r="EU134" s="465"/>
      <c r="EV134" s="465"/>
      <c r="EW134" s="465"/>
      <c r="EX134" s="465"/>
      <c r="EY134" s="465"/>
      <c r="EZ134" s="465"/>
      <c r="FA134" s="465"/>
      <c r="FB134" s="465"/>
      <c r="FC134" s="465"/>
      <c r="FD134" s="465"/>
      <c r="FE134" s="465"/>
      <c r="FF134" s="465"/>
      <c r="FG134" s="465"/>
      <c r="FH134" s="465"/>
      <c r="FI134" s="465"/>
      <c r="FJ134" s="465"/>
      <c r="FK134" s="465"/>
      <c r="FL134" s="465"/>
      <c r="FM134" s="465"/>
      <c r="FN134" s="465"/>
      <c r="FO134" s="465"/>
      <c r="FP134" s="465"/>
      <c r="FQ134" s="465"/>
      <c r="FR134" s="465"/>
      <c r="FS134" s="465"/>
      <c r="FT134" s="465"/>
      <c r="FU134" s="465"/>
      <c r="FV134" s="465"/>
      <c r="FW134" s="465"/>
      <c r="FX134" s="465"/>
      <c r="FY134" s="465"/>
      <c r="FZ134" s="465"/>
      <c r="GA134" s="465"/>
      <c r="GB134" s="465"/>
      <c r="GC134" s="465"/>
      <c r="GD134" s="465"/>
      <c r="GE134" s="465"/>
      <c r="GF134" s="465"/>
      <c r="GG134" s="465"/>
      <c r="GH134" s="465"/>
      <c r="GI134" s="465"/>
      <c r="GJ134" s="465"/>
      <c r="GK134" s="465"/>
      <c r="GL134" s="465"/>
      <c r="GM134" s="465"/>
      <c r="GN134" s="465"/>
      <c r="GO134" s="465"/>
      <c r="GP134" s="465"/>
      <c r="GQ134" s="465"/>
      <c r="GR134" s="465"/>
      <c r="GS134" s="465"/>
      <c r="GT134" s="465"/>
      <c r="GU134" s="465"/>
      <c r="GV134" s="465"/>
      <c r="GW134" s="465"/>
      <c r="GX134" s="465"/>
      <c r="GY134" s="465"/>
      <c r="GZ134" s="465"/>
      <c r="HA134" s="465"/>
      <c r="HB134" s="465"/>
      <c r="HC134" s="465"/>
      <c r="HD134" s="465"/>
      <c r="HE134" s="465"/>
      <c r="HF134" s="465"/>
      <c r="HG134" s="465"/>
      <c r="HH134" s="465"/>
      <c r="HI134" s="465"/>
      <c r="HJ134" s="465"/>
      <c r="HK134" s="465"/>
      <c r="HL134" s="465"/>
      <c r="HM134" s="465"/>
      <c r="HN134" s="465"/>
      <c r="HO134" s="465"/>
      <c r="HP134" s="465"/>
      <c r="HQ134" s="465"/>
      <c r="HR134" s="465"/>
      <c r="HS134" s="465"/>
      <c r="HT134" s="465"/>
      <c r="HU134" s="465"/>
      <c r="HV134" s="465"/>
      <c r="HW134" s="465"/>
      <c r="HX134" s="465"/>
      <c r="HY134" s="465"/>
      <c r="HZ134" s="465"/>
      <c r="IA134" s="465"/>
      <c r="IB134" s="465"/>
      <c r="IC134" s="465"/>
      <c r="ID134" s="465"/>
      <c r="IE134" s="465"/>
      <c r="IF134" s="465"/>
      <c r="IG134" s="465"/>
      <c r="IH134" s="465"/>
      <c r="II134" s="465"/>
      <c r="IJ134" s="465"/>
      <c r="IK134" s="465"/>
      <c r="IL134" s="465"/>
      <c r="IM134" s="465"/>
      <c r="IN134" s="465"/>
      <c r="IO134" s="465"/>
      <c r="IP134" s="465"/>
      <c r="IQ134" s="465"/>
      <c r="IR134" s="465"/>
    </row>
    <row r="135" spans="1:252" s="466" customFormat="1">
      <c r="A135" s="325" t="s">
        <v>987</v>
      </c>
      <c r="B135" s="194">
        <f>0.31*12*B123*1.5</f>
        <v>14717.25</v>
      </c>
      <c r="C135" s="465"/>
      <c r="D135" s="465"/>
      <c r="E135" s="465"/>
      <c r="F135" s="465"/>
      <c r="G135" s="465"/>
      <c r="H135" s="465"/>
      <c r="I135" s="465"/>
      <c r="J135" s="465"/>
      <c r="K135" s="465"/>
      <c r="L135" s="465"/>
      <c r="M135" s="465"/>
      <c r="N135" s="465"/>
      <c r="O135" s="465"/>
      <c r="P135" s="465"/>
      <c r="Q135" s="465"/>
      <c r="R135" s="465"/>
      <c r="S135" s="465"/>
      <c r="T135" s="465"/>
      <c r="U135" s="465"/>
      <c r="V135" s="465"/>
      <c r="W135" s="465"/>
      <c r="X135" s="465"/>
      <c r="Y135" s="465"/>
      <c r="Z135" s="465"/>
      <c r="AA135" s="465"/>
      <c r="AB135" s="465"/>
      <c r="AC135" s="465"/>
      <c r="AD135" s="465"/>
      <c r="AE135" s="465"/>
      <c r="AF135" s="465"/>
      <c r="AG135" s="465"/>
      <c r="AH135" s="465"/>
      <c r="AI135" s="465"/>
      <c r="AJ135" s="465"/>
      <c r="AK135" s="465"/>
      <c r="AL135" s="465"/>
      <c r="AM135" s="465"/>
      <c r="AN135" s="465"/>
      <c r="AO135" s="465"/>
      <c r="AP135" s="465"/>
      <c r="AQ135" s="465"/>
      <c r="AR135" s="465"/>
      <c r="AS135" s="465"/>
      <c r="AT135" s="465"/>
      <c r="AU135" s="465"/>
      <c r="AV135" s="465"/>
      <c r="AW135" s="465"/>
      <c r="AX135" s="465"/>
      <c r="AY135" s="465"/>
      <c r="AZ135" s="465"/>
      <c r="BA135" s="465"/>
      <c r="BB135" s="465"/>
      <c r="BC135" s="465"/>
      <c r="BD135" s="465"/>
      <c r="BE135" s="465"/>
      <c r="BF135" s="465"/>
      <c r="BG135" s="465"/>
      <c r="BH135" s="465"/>
      <c r="BI135" s="465"/>
      <c r="BJ135" s="465"/>
      <c r="BK135" s="465"/>
      <c r="BL135" s="465"/>
      <c r="BM135" s="465"/>
      <c r="BN135" s="465"/>
      <c r="BO135" s="465"/>
      <c r="BP135" s="465"/>
      <c r="BQ135" s="465"/>
      <c r="BR135" s="465"/>
      <c r="BS135" s="465"/>
      <c r="BT135" s="465"/>
      <c r="BU135" s="465"/>
      <c r="BV135" s="465"/>
      <c r="BW135" s="465"/>
      <c r="BX135" s="465"/>
      <c r="BY135" s="465"/>
      <c r="BZ135" s="465"/>
      <c r="CA135" s="465"/>
      <c r="CB135" s="465"/>
      <c r="CC135" s="465"/>
      <c r="CD135" s="465"/>
      <c r="CE135" s="465"/>
      <c r="CF135" s="465"/>
      <c r="CG135" s="465"/>
      <c r="CH135" s="465"/>
      <c r="CI135" s="465"/>
      <c r="CJ135" s="465"/>
      <c r="CK135" s="465"/>
      <c r="CL135" s="465"/>
      <c r="CM135" s="465"/>
      <c r="CN135" s="465"/>
      <c r="CO135" s="465"/>
      <c r="CP135" s="465"/>
      <c r="CQ135" s="465"/>
      <c r="CR135" s="465"/>
      <c r="CS135" s="465"/>
      <c r="CT135" s="465"/>
      <c r="CU135" s="465"/>
      <c r="CV135" s="465"/>
      <c r="CW135" s="465"/>
      <c r="CX135" s="465"/>
      <c r="CY135" s="465"/>
      <c r="CZ135" s="465"/>
      <c r="DA135" s="465"/>
      <c r="DB135" s="465"/>
      <c r="DC135" s="465"/>
      <c r="DD135" s="465"/>
      <c r="DE135" s="465"/>
      <c r="DF135" s="465"/>
      <c r="DG135" s="465"/>
      <c r="DH135" s="465"/>
      <c r="DI135" s="465"/>
      <c r="DJ135" s="465"/>
      <c r="DK135" s="465"/>
      <c r="DL135" s="465"/>
      <c r="DM135" s="465"/>
      <c r="DN135" s="465"/>
      <c r="DO135" s="465"/>
      <c r="DP135" s="465"/>
      <c r="DQ135" s="465"/>
      <c r="DR135" s="465"/>
      <c r="DS135" s="465"/>
      <c r="DT135" s="465"/>
      <c r="DU135" s="465"/>
      <c r="DV135" s="465"/>
      <c r="DW135" s="465"/>
      <c r="DX135" s="465"/>
      <c r="DY135" s="465"/>
      <c r="DZ135" s="465"/>
      <c r="EA135" s="465"/>
      <c r="EB135" s="465"/>
      <c r="EC135" s="465"/>
      <c r="ED135" s="465"/>
      <c r="EE135" s="465"/>
      <c r="EF135" s="465"/>
      <c r="EG135" s="465"/>
      <c r="EH135" s="465"/>
      <c r="EI135" s="465"/>
      <c r="EJ135" s="465"/>
      <c r="EK135" s="465"/>
      <c r="EL135" s="465"/>
      <c r="EM135" s="465"/>
      <c r="EN135" s="465"/>
      <c r="EO135" s="465"/>
      <c r="EP135" s="465"/>
      <c r="EQ135" s="465"/>
      <c r="ER135" s="465"/>
      <c r="ES135" s="465"/>
      <c r="ET135" s="465"/>
      <c r="EU135" s="465"/>
      <c r="EV135" s="465"/>
      <c r="EW135" s="465"/>
      <c r="EX135" s="465"/>
      <c r="EY135" s="465"/>
      <c r="EZ135" s="465"/>
      <c r="FA135" s="465"/>
      <c r="FB135" s="465"/>
      <c r="FC135" s="465"/>
      <c r="FD135" s="465"/>
      <c r="FE135" s="465"/>
      <c r="FF135" s="465"/>
      <c r="FG135" s="465"/>
      <c r="FH135" s="465"/>
      <c r="FI135" s="465"/>
      <c r="FJ135" s="465"/>
      <c r="FK135" s="465"/>
      <c r="FL135" s="465"/>
      <c r="FM135" s="465"/>
      <c r="FN135" s="465"/>
      <c r="FO135" s="465"/>
      <c r="FP135" s="465"/>
      <c r="FQ135" s="465"/>
      <c r="FR135" s="465"/>
      <c r="FS135" s="465"/>
      <c r="FT135" s="465"/>
      <c r="FU135" s="465"/>
      <c r="FV135" s="465"/>
      <c r="FW135" s="465"/>
      <c r="FX135" s="465"/>
      <c r="FY135" s="465"/>
      <c r="FZ135" s="465"/>
      <c r="GA135" s="465"/>
      <c r="GB135" s="465"/>
      <c r="GC135" s="465"/>
      <c r="GD135" s="465"/>
      <c r="GE135" s="465"/>
      <c r="GF135" s="465"/>
      <c r="GG135" s="465"/>
      <c r="GH135" s="465"/>
      <c r="GI135" s="465"/>
      <c r="GJ135" s="465"/>
      <c r="GK135" s="465"/>
      <c r="GL135" s="465"/>
      <c r="GM135" s="465"/>
      <c r="GN135" s="465"/>
      <c r="GO135" s="465"/>
      <c r="GP135" s="465"/>
      <c r="GQ135" s="465"/>
      <c r="GR135" s="465"/>
      <c r="GS135" s="465"/>
      <c r="GT135" s="465"/>
      <c r="GU135" s="465"/>
      <c r="GV135" s="465"/>
      <c r="GW135" s="465"/>
      <c r="GX135" s="465"/>
      <c r="GY135" s="465"/>
      <c r="GZ135" s="465"/>
      <c r="HA135" s="465"/>
      <c r="HB135" s="465"/>
      <c r="HC135" s="465"/>
      <c r="HD135" s="465"/>
      <c r="HE135" s="465"/>
      <c r="HF135" s="465"/>
      <c r="HG135" s="465"/>
      <c r="HH135" s="465"/>
      <c r="HI135" s="465"/>
      <c r="HJ135" s="465"/>
      <c r="HK135" s="465"/>
      <c r="HL135" s="465"/>
      <c r="HM135" s="465"/>
      <c r="HN135" s="465"/>
      <c r="HO135" s="465"/>
      <c r="HP135" s="465"/>
      <c r="HQ135" s="465"/>
      <c r="HR135" s="465"/>
      <c r="HS135" s="465"/>
      <c r="HT135" s="465"/>
      <c r="HU135" s="465"/>
      <c r="HV135" s="465"/>
      <c r="HW135" s="465"/>
      <c r="HX135" s="465"/>
      <c r="HY135" s="465"/>
      <c r="HZ135" s="465"/>
      <c r="IA135" s="465"/>
      <c r="IB135" s="465"/>
      <c r="IC135" s="465"/>
      <c r="ID135" s="465"/>
      <c r="IE135" s="465"/>
      <c r="IF135" s="465"/>
      <c r="IG135" s="465"/>
      <c r="IH135" s="465"/>
      <c r="II135" s="465"/>
      <c r="IJ135" s="465"/>
      <c r="IK135" s="465"/>
      <c r="IL135" s="465"/>
      <c r="IM135" s="465"/>
      <c r="IN135" s="465"/>
      <c r="IO135" s="465"/>
      <c r="IP135" s="465"/>
      <c r="IQ135" s="465"/>
      <c r="IR135" s="465"/>
    </row>
    <row r="136" spans="1:252" s="466" customFormat="1">
      <c r="A136" s="325" t="s">
        <v>520</v>
      </c>
      <c r="B136" s="194">
        <f>0.89*12*B123*1.5</f>
        <v>42252.75</v>
      </c>
      <c r="C136" s="465"/>
      <c r="D136" s="465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465"/>
      <c r="P136" s="465"/>
      <c r="Q136" s="465"/>
      <c r="R136" s="465"/>
      <c r="S136" s="465"/>
      <c r="T136" s="465"/>
      <c r="U136" s="465"/>
      <c r="V136" s="465"/>
      <c r="W136" s="465"/>
      <c r="X136" s="465"/>
      <c r="Y136" s="465"/>
      <c r="Z136" s="465"/>
      <c r="AA136" s="465"/>
      <c r="AB136" s="465"/>
      <c r="AC136" s="465"/>
      <c r="AD136" s="465"/>
      <c r="AE136" s="465"/>
      <c r="AF136" s="465"/>
      <c r="AG136" s="465"/>
      <c r="AH136" s="465"/>
      <c r="AI136" s="465"/>
      <c r="AJ136" s="465"/>
      <c r="AK136" s="465"/>
      <c r="AL136" s="465"/>
      <c r="AM136" s="465"/>
      <c r="AN136" s="465"/>
      <c r="AO136" s="465"/>
      <c r="AP136" s="465"/>
      <c r="AQ136" s="465"/>
      <c r="AR136" s="465"/>
      <c r="AS136" s="465"/>
      <c r="AT136" s="465"/>
      <c r="AU136" s="465"/>
      <c r="AV136" s="465"/>
      <c r="AW136" s="465"/>
      <c r="AX136" s="465"/>
      <c r="AY136" s="465"/>
      <c r="AZ136" s="465"/>
      <c r="BA136" s="465"/>
      <c r="BB136" s="465"/>
      <c r="BC136" s="465"/>
      <c r="BD136" s="465"/>
      <c r="BE136" s="465"/>
      <c r="BF136" s="465"/>
      <c r="BG136" s="465"/>
      <c r="BH136" s="465"/>
      <c r="BI136" s="465"/>
      <c r="BJ136" s="465"/>
      <c r="BK136" s="465"/>
      <c r="BL136" s="465"/>
      <c r="BM136" s="465"/>
      <c r="BN136" s="465"/>
      <c r="BO136" s="465"/>
      <c r="BP136" s="465"/>
      <c r="BQ136" s="465"/>
      <c r="BR136" s="465"/>
      <c r="BS136" s="465"/>
      <c r="BT136" s="465"/>
      <c r="BU136" s="465"/>
      <c r="BV136" s="465"/>
      <c r="BW136" s="465"/>
      <c r="BX136" s="465"/>
      <c r="BY136" s="465"/>
      <c r="BZ136" s="465"/>
      <c r="CA136" s="465"/>
      <c r="CB136" s="465"/>
      <c r="CC136" s="465"/>
      <c r="CD136" s="465"/>
      <c r="CE136" s="465"/>
      <c r="CF136" s="465"/>
      <c r="CG136" s="465"/>
      <c r="CH136" s="465"/>
      <c r="CI136" s="465"/>
      <c r="CJ136" s="465"/>
      <c r="CK136" s="465"/>
      <c r="CL136" s="465"/>
      <c r="CM136" s="465"/>
      <c r="CN136" s="465"/>
      <c r="CO136" s="465"/>
      <c r="CP136" s="465"/>
      <c r="CQ136" s="465"/>
      <c r="CR136" s="465"/>
      <c r="CS136" s="465"/>
      <c r="CT136" s="465"/>
      <c r="CU136" s="465"/>
      <c r="CV136" s="465"/>
      <c r="CW136" s="465"/>
      <c r="CX136" s="465"/>
      <c r="CY136" s="465"/>
      <c r="CZ136" s="465"/>
      <c r="DA136" s="465"/>
      <c r="DB136" s="465"/>
      <c r="DC136" s="465"/>
      <c r="DD136" s="465"/>
      <c r="DE136" s="465"/>
      <c r="DF136" s="465"/>
      <c r="DG136" s="465"/>
      <c r="DH136" s="465"/>
      <c r="DI136" s="465"/>
      <c r="DJ136" s="465"/>
      <c r="DK136" s="465"/>
      <c r="DL136" s="465"/>
      <c r="DM136" s="465"/>
      <c r="DN136" s="465"/>
      <c r="DO136" s="465"/>
      <c r="DP136" s="465"/>
      <c r="DQ136" s="465"/>
      <c r="DR136" s="465"/>
      <c r="DS136" s="465"/>
      <c r="DT136" s="465"/>
      <c r="DU136" s="465"/>
      <c r="DV136" s="465"/>
      <c r="DW136" s="465"/>
      <c r="DX136" s="465"/>
      <c r="DY136" s="465"/>
      <c r="DZ136" s="465"/>
      <c r="EA136" s="465"/>
      <c r="EB136" s="465"/>
      <c r="EC136" s="465"/>
      <c r="ED136" s="465"/>
      <c r="EE136" s="465"/>
      <c r="EF136" s="465"/>
      <c r="EG136" s="465"/>
      <c r="EH136" s="465"/>
      <c r="EI136" s="465"/>
      <c r="EJ136" s="465"/>
      <c r="EK136" s="465"/>
      <c r="EL136" s="465"/>
      <c r="EM136" s="465"/>
      <c r="EN136" s="465"/>
      <c r="EO136" s="465"/>
      <c r="EP136" s="465"/>
      <c r="EQ136" s="465"/>
      <c r="ER136" s="465"/>
      <c r="ES136" s="465"/>
      <c r="ET136" s="465"/>
      <c r="EU136" s="465"/>
      <c r="EV136" s="465"/>
      <c r="EW136" s="465"/>
      <c r="EX136" s="465"/>
      <c r="EY136" s="465"/>
      <c r="EZ136" s="465"/>
      <c r="FA136" s="465"/>
      <c r="FB136" s="465"/>
      <c r="FC136" s="465"/>
      <c r="FD136" s="465"/>
      <c r="FE136" s="465"/>
      <c r="FF136" s="465"/>
      <c r="FG136" s="465"/>
      <c r="FH136" s="465"/>
      <c r="FI136" s="465"/>
      <c r="FJ136" s="465"/>
      <c r="FK136" s="465"/>
      <c r="FL136" s="465"/>
      <c r="FM136" s="465"/>
      <c r="FN136" s="465"/>
      <c r="FO136" s="465"/>
      <c r="FP136" s="465"/>
      <c r="FQ136" s="465"/>
      <c r="FR136" s="465"/>
      <c r="FS136" s="465"/>
      <c r="FT136" s="465"/>
      <c r="FU136" s="465"/>
      <c r="FV136" s="465"/>
      <c r="FW136" s="465"/>
      <c r="FX136" s="465"/>
      <c r="FY136" s="465"/>
      <c r="FZ136" s="465"/>
      <c r="GA136" s="465"/>
      <c r="GB136" s="465"/>
      <c r="GC136" s="465"/>
      <c r="GD136" s="465"/>
      <c r="GE136" s="465"/>
      <c r="GF136" s="465"/>
      <c r="GG136" s="465"/>
      <c r="GH136" s="465"/>
      <c r="GI136" s="465"/>
      <c r="GJ136" s="465"/>
      <c r="GK136" s="465"/>
      <c r="GL136" s="465"/>
      <c r="GM136" s="465"/>
      <c r="GN136" s="465"/>
      <c r="GO136" s="465"/>
      <c r="GP136" s="465"/>
      <c r="GQ136" s="465"/>
      <c r="GR136" s="465"/>
      <c r="GS136" s="465"/>
      <c r="GT136" s="465"/>
      <c r="GU136" s="465"/>
      <c r="GV136" s="465"/>
      <c r="GW136" s="465"/>
      <c r="GX136" s="465"/>
      <c r="GY136" s="465"/>
      <c r="GZ136" s="465"/>
      <c r="HA136" s="465"/>
      <c r="HB136" s="465"/>
      <c r="HC136" s="465"/>
      <c r="HD136" s="465"/>
      <c r="HE136" s="465"/>
      <c r="HF136" s="465"/>
      <c r="HG136" s="465"/>
      <c r="HH136" s="465"/>
      <c r="HI136" s="465"/>
      <c r="HJ136" s="465"/>
      <c r="HK136" s="465"/>
      <c r="HL136" s="465"/>
      <c r="HM136" s="465"/>
      <c r="HN136" s="465"/>
      <c r="HO136" s="465"/>
      <c r="HP136" s="465"/>
      <c r="HQ136" s="465"/>
      <c r="HR136" s="465"/>
      <c r="HS136" s="465"/>
      <c r="HT136" s="465"/>
      <c r="HU136" s="465"/>
      <c r="HV136" s="465"/>
      <c r="HW136" s="465"/>
      <c r="HX136" s="465"/>
      <c r="HY136" s="465"/>
      <c r="HZ136" s="465"/>
      <c r="IA136" s="465"/>
      <c r="IB136" s="465"/>
      <c r="IC136" s="465"/>
      <c r="ID136" s="465"/>
      <c r="IE136" s="465"/>
      <c r="IF136" s="465"/>
      <c r="IG136" s="465"/>
      <c r="IH136" s="465"/>
      <c r="II136" s="465"/>
      <c r="IJ136" s="465"/>
      <c r="IK136" s="465"/>
      <c r="IL136" s="465"/>
      <c r="IM136" s="465"/>
      <c r="IN136" s="465"/>
      <c r="IO136" s="465"/>
      <c r="IP136" s="465"/>
      <c r="IQ136" s="465"/>
      <c r="IR136" s="465"/>
    </row>
    <row r="137" spans="1:252">
      <c r="A137" s="325" t="s">
        <v>2027</v>
      </c>
      <c r="B137" s="194">
        <f>9915*1.5</f>
        <v>14872.5</v>
      </c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  <c r="BI137" s="179"/>
      <c r="BJ137" s="179"/>
      <c r="BK137" s="179"/>
      <c r="BL137" s="179"/>
      <c r="BM137" s="179"/>
      <c r="BN137" s="179"/>
      <c r="BO137" s="179"/>
      <c r="BP137" s="179"/>
      <c r="BQ137" s="179"/>
      <c r="BR137" s="179"/>
      <c r="BS137" s="179"/>
      <c r="BT137" s="179"/>
      <c r="BU137" s="179"/>
      <c r="BV137" s="179"/>
      <c r="BW137" s="179"/>
      <c r="BX137" s="179"/>
      <c r="BY137" s="179"/>
      <c r="BZ137" s="179"/>
      <c r="CA137" s="179"/>
      <c r="CB137" s="179"/>
      <c r="CC137" s="179"/>
      <c r="CD137" s="179"/>
      <c r="CE137" s="179"/>
      <c r="CF137" s="179"/>
      <c r="CG137" s="179"/>
      <c r="CH137" s="179"/>
      <c r="CI137" s="179"/>
      <c r="CJ137" s="179"/>
      <c r="CK137" s="179"/>
      <c r="CL137" s="179"/>
      <c r="CM137" s="179"/>
      <c r="CN137" s="179"/>
      <c r="CO137" s="179"/>
      <c r="CP137" s="179"/>
      <c r="CQ137" s="179"/>
      <c r="CR137" s="179"/>
      <c r="CS137" s="179"/>
      <c r="CT137" s="179"/>
      <c r="CU137" s="179"/>
      <c r="CV137" s="179"/>
      <c r="CW137" s="179"/>
      <c r="CX137" s="179"/>
      <c r="CY137" s="179"/>
      <c r="CZ137" s="179"/>
      <c r="DA137" s="179"/>
      <c r="DB137" s="179"/>
      <c r="DC137" s="179"/>
      <c r="DD137" s="179"/>
      <c r="DE137" s="179"/>
      <c r="DF137" s="179"/>
      <c r="DG137" s="179"/>
      <c r="DH137" s="179"/>
      <c r="DI137" s="179"/>
      <c r="DJ137" s="179"/>
      <c r="DK137" s="179"/>
      <c r="DL137" s="179"/>
      <c r="DM137" s="179"/>
      <c r="DN137" s="179"/>
      <c r="DO137" s="179"/>
      <c r="DP137" s="179"/>
      <c r="DQ137" s="179"/>
      <c r="DR137" s="179"/>
      <c r="DS137" s="179"/>
      <c r="DT137" s="179"/>
      <c r="DU137" s="179"/>
      <c r="DV137" s="179"/>
      <c r="DW137" s="179"/>
      <c r="DX137" s="179"/>
      <c r="DY137" s="179"/>
      <c r="DZ137" s="179"/>
      <c r="EA137" s="179"/>
      <c r="EB137" s="179"/>
      <c r="EC137" s="179"/>
      <c r="ED137" s="179"/>
      <c r="EE137" s="179"/>
      <c r="EF137" s="179"/>
      <c r="EG137" s="179"/>
      <c r="EH137" s="179"/>
      <c r="EI137" s="179"/>
      <c r="EJ137" s="179"/>
      <c r="EK137" s="179"/>
      <c r="EL137" s="179"/>
      <c r="EM137" s="179"/>
      <c r="EN137" s="179"/>
      <c r="EO137" s="179"/>
      <c r="EP137" s="179"/>
      <c r="EQ137" s="179"/>
      <c r="ER137" s="179"/>
      <c r="ES137" s="179"/>
      <c r="ET137" s="179"/>
      <c r="EU137" s="179"/>
      <c r="EV137" s="179"/>
      <c r="EW137" s="179"/>
      <c r="EX137" s="179"/>
      <c r="EY137" s="179"/>
      <c r="EZ137" s="179"/>
      <c r="FA137" s="179"/>
      <c r="FB137" s="179"/>
      <c r="FC137" s="179"/>
      <c r="FD137" s="179"/>
      <c r="FE137" s="179"/>
      <c r="FF137" s="179"/>
      <c r="FG137" s="179"/>
      <c r="FH137" s="179"/>
      <c r="FI137" s="179"/>
      <c r="FJ137" s="179"/>
      <c r="FK137" s="179"/>
      <c r="FL137" s="179"/>
      <c r="FM137" s="179"/>
      <c r="FN137" s="179"/>
      <c r="FO137" s="179"/>
      <c r="FP137" s="179"/>
      <c r="FQ137" s="179"/>
      <c r="FR137" s="179"/>
      <c r="FS137" s="179"/>
      <c r="FT137" s="179"/>
      <c r="FU137" s="179"/>
      <c r="FV137" s="179"/>
      <c r="FW137" s="179"/>
      <c r="FX137" s="179"/>
      <c r="FY137" s="179"/>
      <c r="FZ137" s="179"/>
      <c r="GA137" s="179"/>
      <c r="GB137" s="179"/>
      <c r="GC137" s="179"/>
      <c r="GD137" s="179"/>
      <c r="GE137" s="179"/>
      <c r="GF137" s="179"/>
      <c r="GG137" s="179"/>
      <c r="GH137" s="179"/>
      <c r="GI137" s="179"/>
      <c r="GJ137" s="179"/>
      <c r="GK137" s="179"/>
      <c r="GL137" s="179"/>
      <c r="GM137" s="179"/>
      <c r="GN137" s="179"/>
      <c r="GO137" s="179"/>
      <c r="GP137" s="179"/>
      <c r="GQ137" s="179"/>
      <c r="GR137" s="179"/>
      <c r="GS137" s="179"/>
      <c r="GT137" s="179"/>
      <c r="GU137" s="179"/>
      <c r="GV137" s="179"/>
      <c r="GW137" s="179"/>
      <c r="GX137" s="179"/>
      <c r="GY137" s="179"/>
      <c r="GZ137" s="179"/>
      <c r="HA137" s="179"/>
      <c r="HB137" s="179"/>
      <c r="HC137" s="179"/>
      <c r="HD137" s="179"/>
      <c r="HE137" s="179"/>
      <c r="HF137" s="179"/>
      <c r="HG137" s="179"/>
      <c r="HH137" s="179"/>
      <c r="HI137" s="179"/>
      <c r="HJ137" s="179"/>
      <c r="HK137" s="179"/>
      <c r="HL137" s="179"/>
      <c r="HM137" s="179"/>
      <c r="HN137" s="179"/>
      <c r="HO137" s="179"/>
      <c r="HP137" s="179"/>
      <c r="HQ137" s="179"/>
      <c r="HR137" s="179"/>
      <c r="HS137" s="179"/>
      <c r="HT137" s="179"/>
      <c r="HU137" s="179"/>
      <c r="HV137" s="179"/>
      <c r="HW137" s="179"/>
      <c r="HX137" s="179"/>
      <c r="HY137" s="179"/>
      <c r="HZ137" s="179"/>
      <c r="IA137" s="179"/>
      <c r="IB137" s="179"/>
      <c r="IC137" s="179"/>
      <c r="ID137" s="179"/>
      <c r="IE137" s="179"/>
      <c r="IF137" s="179"/>
      <c r="IG137" s="179"/>
      <c r="IH137" s="179"/>
      <c r="II137" s="179"/>
      <c r="IJ137" s="179"/>
      <c r="IK137" s="179"/>
      <c r="IL137" s="179"/>
      <c r="IM137" s="179"/>
      <c r="IN137" s="179"/>
      <c r="IO137" s="179"/>
      <c r="IP137" s="179"/>
      <c r="IQ137" s="179"/>
      <c r="IR137" s="179"/>
    </row>
    <row r="138" spans="1:252" s="466" customFormat="1">
      <c r="A138" s="325" t="s">
        <v>601</v>
      </c>
      <c r="B138" s="194">
        <f>0.9*9100*13*1.302</f>
        <v>138623.94</v>
      </c>
      <c r="C138" s="465"/>
      <c r="D138" s="465"/>
      <c r="E138" s="465"/>
      <c r="F138" s="465"/>
      <c r="G138" s="465"/>
      <c r="H138" s="465"/>
      <c r="I138" s="465"/>
      <c r="J138" s="465"/>
      <c r="K138" s="465"/>
      <c r="L138" s="465"/>
      <c r="M138" s="465"/>
      <c r="N138" s="465"/>
      <c r="O138" s="465"/>
      <c r="P138" s="465"/>
      <c r="Q138" s="465"/>
      <c r="R138" s="465"/>
      <c r="S138" s="465"/>
      <c r="T138" s="465"/>
      <c r="U138" s="465"/>
      <c r="V138" s="465"/>
      <c r="W138" s="465"/>
      <c r="X138" s="465"/>
      <c r="Y138" s="465"/>
      <c r="Z138" s="465"/>
      <c r="AA138" s="465"/>
      <c r="AB138" s="465"/>
      <c r="AC138" s="465"/>
      <c r="AD138" s="465"/>
      <c r="AE138" s="465"/>
      <c r="AF138" s="465"/>
      <c r="AG138" s="465"/>
      <c r="AH138" s="465"/>
      <c r="AI138" s="465"/>
      <c r="AJ138" s="465"/>
      <c r="AK138" s="465"/>
      <c r="AL138" s="465"/>
      <c r="AM138" s="465"/>
      <c r="AN138" s="465"/>
      <c r="AO138" s="465"/>
      <c r="AP138" s="465"/>
      <c r="AQ138" s="465"/>
      <c r="AR138" s="465"/>
      <c r="AS138" s="465"/>
      <c r="AT138" s="465"/>
      <c r="AU138" s="465"/>
      <c r="AV138" s="465"/>
      <c r="AW138" s="465"/>
      <c r="AX138" s="465"/>
      <c r="AY138" s="465"/>
      <c r="AZ138" s="465"/>
      <c r="BA138" s="465"/>
      <c r="BB138" s="465"/>
      <c r="BC138" s="465"/>
      <c r="BD138" s="465"/>
      <c r="BE138" s="465"/>
      <c r="BF138" s="465"/>
      <c r="BG138" s="465"/>
      <c r="BH138" s="465"/>
      <c r="BI138" s="465"/>
      <c r="BJ138" s="465"/>
      <c r="BK138" s="465"/>
      <c r="BL138" s="465"/>
      <c r="BM138" s="465"/>
      <c r="BN138" s="465"/>
      <c r="BO138" s="465"/>
      <c r="BP138" s="465"/>
      <c r="BQ138" s="465"/>
      <c r="BR138" s="465"/>
      <c r="BS138" s="465"/>
      <c r="BT138" s="465"/>
      <c r="BU138" s="465"/>
      <c r="BV138" s="465"/>
      <c r="BW138" s="465"/>
      <c r="BX138" s="465"/>
      <c r="BY138" s="465"/>
      <c r="BZ138" s="465"/>
      <c r="CA138" s="465"/>
      <c r="CB138" s="465"/>
      <c r="CC138" s="465"/>
      <c r="CD138" s="465"/>
      <c r="CE138" s="465"/>
      <c r="CF138" s="465"/>
      <c r="CG138" s="465"/>
      <c r="CH138" s="465"/>
      <c r="CI138" s="465"/>
      <c r="CJ138" s="465"/>
      <c r="CK138" s="465"/>
      <c r="CL138" s="465"/>
      <c r="CM138" s="465"/>
      <c r="CN138" s="465"/>
      <c r="CO138" s="465"/>
      <c r="CP138" s="465"/>
      <c r="CQ138" s="465"/>
      <c r="CR138" s="465"/>
      <c r="CS138" s="465"/>
      <c r="CT138" s="465"/>
      <c r="CU138" s="465"/>
      <c r="CV138" s="465"/>
      <c r="CW138" s="465"/>
      <c r="CX138" s="465"/>
      <c r="CY138" s="465"/>
      <c r="CZ138" s="465"/>
      <c r="DA138" s="465"/>
      <c r="DB138" s="465"/>
      <c r="DC138" s="465"/>
      <c r="DD138" s="465"/>
      <c r="DE138" s="465"/>
      <c r="DF138" s="465"/>
      <c r="DG138" s="465"/>
      <c r="DH138" s="465"/>
      <c r="DI138" s="465"/>
      <c r="DJ138" s="465"/>
      <c r="DK138" s="465"/>
      <c r="DL138" s="465"/>
      <c r="DM138" s="465"/>
      <c r="DN138" s="465"/>
      <c r="DO138" s="465"/>
      <c r="DP138" s="465"/>
      <c r="DQ138" s="465"/>
      <c r="DR138" s="465"/>
      <c r="DS138" s="465"/>
      <c r="DT138" s="465"/>
      <c r="DU138" s="465"/>
      <c r="DV138" s="465"/>
      <c r="DW138" s="465"/>
      <c r="DX138" s="465"/>
      <c r="DY138" s="465"/>
      <c r="DZ138" s="465"/>
      <c r="EA138" s="465"/>
      <c r="EB138" s="465"/>
      <c r="EC138" s="465"/>
      <c r="ED138" s="465"/>
      <c r="EE138" s="465"/>
      <c r="EF138" s="465"/>
      <c r="EG138" s="465"/>
      <c r="EH138" s="465"/>
      <c r="EI138" s="465"/>
      <c r="EJ138" s="465"/>
      <c r="EK138" s="465"/>
      <c r="EL138" s="465"/>
      <c r="EM138" s="465"/>
      <c r="EN138" s="465"/>
      <c r="EO138" s="465"/>
      <c r="EP138" s="465"/>
      <c r="EQ138" s="465"/>
      <c r="ER138" s="465"/>
      <c r="ES138" s="465"/>
      <c r="ET138" s="465"/>
      <c r="EU138" s="465"/>
      <c r="EV138" s="465"/>
      <c r="EW138" s="465"/>
      <c r="EX138" s="465"/>
      <c r="EY138" s="465"/>
      <c r="EZ138" s="465"/>
      <c r="FA138" s="465"/>
      <c r="FB138" s="465"/>
      <c r="FC138" s="465"/>
      <c r="FD138" s="465"/>
      <c r="FE138" s="465"/>
      <c r="FF138" s="465"/>
      <c r="FG138" s="465"/>
      <c r="FH138" s="465"/>
      <c r="FI138" s="465"/>
      <c r="FJ138" s="465"/>
      <c r="FK138" s="465"/>
      <c r="FL138" s="465"/>
      <c r="FM138" s="465"/>
      <c r="FN138" s="465"/>
      <c r="FO138" s="465"/>
      <c r="FP138" s="465"/>
      <c r="FQ138" s="465"/>
      <c r="FR138" s="465"/>
      <c r="FS138" s="465"/>
      <c r="FT138" s="465"/>
      <c r="FU138" s="465"/>
      <c r="FV138" s="465"/>
      <c r="FW138" s="465"/>
      <c r="FX138" s="465"/>
      <c r="FY138" s="465"/>
      <c r="FZ138" s="465"/>
      <c r="GA138" s="465"/>
      <c r="GB138" s="465"/>
      <c r="GC138" s="465"/>
      <c r="GD138" s="465"/>
      <c r="GE138" s="465"/>
      <c r="GF138" s="465"/>
      <c r="GG138" s="465"/>
      <c r="GH138" s="465"/>
      <c r="GI138" s="465"/>
      <c r="GJ138" s="465"/>
      <c r="GK138" s="465"/>
      <c r="GL138" s="465"/>
      <c r="GM138" s="465"/>
      <c r="GN138" s="465"/>
      <c r="GO138" s="465"/>
      <c r="GP138" s="465"/>
      <c r="GQ138" s="465"/>
      <c r="GR138" s="465"/>
      <c r="GS138" s="465"/>
      <c r="GT138" s="465"/>
      <c r="GU138" s="465"/>
      <c r="GV138" s="465"/>
      <c r="GW138" s="465"/>
      <c r="GX138" s="465"/>
      <c r="GY138" s="465"/>
      <c r="GZ138" s="465"/>
      <c r="HA138" s="465"/>
      <c r="HB138" s="465"/>
      <c r="HC138" s="465"/>
      <c r="HD138" s="465"/>
      <c r="HE138" s="465"/>
      <c r="HF138" s="465"/>
      <c r="HG138" s="465"/>
      <c r="HH138" s="465"/>
      <c r="HI138" s="465"/>
      <c r="HJ138" s="465"/>
      <c r="HK138" s="465"/>
      <c r="HL138" s="465"/>
      <c r="HM138" s="465"/>
      <c r="HN138" s="465"/>
      <c r="HO138" s="465"/>
      <c r="HP138" s="465"/>
      <c r="HQ138" s="465"/>
      <c r="HR138" s="465"/>
      <c r="HS138" s="465"/>
      <c r="HT138" s="465"/>
      <c r="HU138" s="465"/>
      <c r="HV138" s="465"/>
      <c r="HW138" s="465"/>
      <c r="HX138" s="465"/>
      <c r="HY138" s="465"/>
      <c r="HZ138" s="465"/>
      <c r="IA138" s="465"/>
      <c r="IB138" s="465"/>
      <c r="IC138" s="465"/>
      <c r="ID138" s="465"/>
      <c r="IE138" s="465"/>
      <c r="IF138" s="465"/>
      <c r="IG138" s="465"/>
      <c r="IH138" s="465"/>
      <c r="II138" s="465"/>
      <c r="IJ138" s="465"/>
      <c r="IK138" s="465"/>
      <c r="IL138" s="465"/>
      <c r="IM138" s="465"/>
      <c r="IN138" s="465"/>
      <c r="IO138" s="465"/>
      <c r="IP138" s="465"/>
      <c r="IQ138" s="465"/>
      <c r="IR138" s="465"/>
    </row>
    <row r="139" spans="1:252">
      <c r="A139" s="325" t="s">
        <v>602</v>
      </c>
      <c r="B139" s="194">
        <f>B120</f>
        <v>339.5</v>
      </c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179"/>
      <c r="BN139" s="179"/>
      <c r="BO139" s="179"/>
      <c r="BP139" s="179"/>
      <c r="BQ139" s="179"/>
      <c r="BR139" s="179"/>
      <c r="BS139" s="179"/>
      <c r="BT139" s="179"/>
      <c r="BU139" s="179"/>
      <c r="BV139" s="179"/>
      <c r="BW139" s="179"/>
      <c r="BX139" s="179"/>
      <c r="BY139" s="179"/>
      <c r="BZ139" s="179"/>
      <c r="CA139" s="179"/>
      <c r="CB139" s="179"/>
      <c r="CC139" s="179"/>
      <c r="CD139" s="179"/>
      <c r="CE139" s="179"/>
      <c r="CF139" s="179"/>
      <c r="CG139" s="179"/>
      <c r="CH139" s="179"/>
      <c r="CI139" s="179"/>
      <c r="CJ139" s="179"/>
      <c r="CK139" s="179"/>
      <c r="CL139" s="179"/>
      <c r="CM139" s="179"/>
      <c r="CN139" s="179"/>
      <c r="CO139" s="179"/>
      <c r="CP139" s="179"/>
      <c r="CQ139" s="179"/>
      <c r="CR139" s="179"/>
      <c r="CS139" s="179"/>
      <c r="CT139" s="179"/>
      <c r="CU139" s="179"/>
      <c r="CV139" s="179"/>
      <c r="CW139" s="179"/>
      <c r="CX139" s="179"/>
      <c r="CY139" s="179"/>
      <c r="CZ139" s="179"/>
      <c r="DA139" s="179"/>
      <c r="DB139" s="179"/>
      <c r="DC139" s="179"/>
      <c r="DD139" s="179"/>
      <c r="DE139" s="179"/>
      <c r="DF139" s="179"/>
      <c r="DG139" s="179"/>
      <c r="DH139" s="179"/>
      <c r="DI139" s="179"/>
      <c r="DJ139" s="179"/>
      <c r="DK139" s="179"/>
      <c r="DL139" s="179"/>
      <c r="DM139" s="179"/>
      <c r="DN139" s="179"/>
      <c r="DO139" s="179"/>
      <c r="DP139" s="179"/>
      <c r="DQ139" s="179"/>
      <c r="DR139" s="179"/>
      <c r="DS139" s="179"/>
      <c r="DT139" s="179"/>
      <c r="DU139" s="179"/>
      <c r="DV139" s="179"/>
      <c r="DW139" s="179"/>
      <c r="DX139" s="179"/>
      <c r="DY139" s="179"/>
      <c r="DZ139" s="179"/>
      <c r="EA139" s="179"/>
      <c r="EB139" s="179"/>
      <c r="EC139" s="179"/>
      <c r="ED139" s="179"/>
      <c r="EE139" s="179"/>
      <c r="EF139" s="179"/>
      <c r="EG139" s="179"/>
      <c r="EH139" s="179"/>
      <c r="EI139" s="179"/>
      <c r="EJ139" s="179"/>
      <c r="EK139" s="179"/>
      <c r="EL139" s="179"/>
      <c r="EM139" s="179"/>
      <c r="EN139" s="179"/>
      <c r="EO139" s="179"/>
      <c r="EP139" s="179"/>
      <c r="EQ139" s="179"/>
      <c r="ER139" s="179"/>
      <c r="ES139" s="179"/>
      <c r="ET139" s="179"/>
      <c r="EU139" s="179"/>
      <c r="EV139" s="179"/>
      <c r="EW139" s="179"/>
      <c r="EX139" s="179"/>
      <c r="EY139" s="179"/>
      <c r="EZ139" s="179"/>
      <c r="FA139" s="179"/>
      <c r="FB139" s="179"/>
      <c r="FC139" s="179"/>
      <c r="FD139" s="179"/>
      <c r="FE139" s="179"/>
      <c r="FF139" s="179"/>
      <c r="FG139" s="179"/>
      <c r="FH139" s="179"/>
      <c r="FI139" s="179"/>
      <c r="FJ139" s="179"/>
      <c r="FK139" s="179"/>
      <c r="FL139" s="179"/>
      <c r="FM139" s="179"/>
      <c r="FN139" s="179"/>
      <c r="FO139" s="179"/>
      <c r="FP139" s="179"/>
      <c r="FQ139" s="179"/>
      <c r="FR139" s="179"/>
      <c r="FS139" s="179"/>
      <c r="FT139" s="179"/>
      <c r="FU139" s="179"/>
      <c r="FV139" s="179"/>
      <c r="FW139" s="179"/>
      <c r="FX139" s="179"/>
      <c r="FY139" s="179"/>
      <c r="FZ139" s="179"/>
      <c r="GA139" s="179"/>
      <c r="GB139" s="179"/>
      <c r="GC139" s="179"/>
      <c r="GD139" s="179"/>
      <c r="GE139" s="179"/>
      <c r="GF139" s="179"/>
      <c r="GG139" s="179"/>
      <c r="GH139" s="179"/>
      <c r="GI139" s="179"/>
      <c r="GJ139" s="179"/>
      <c r="GK139" s="179"/>
      <c r="GL139" s="179"/>
      <c r="GM139" s="179"/>
      <c r="GN139" s="179"/>
      <c r="GO139" s="179"/>
      <c r="GP139" s="179"/>
      <c r="GQ139" s="179"/>
      <c r="GR139" s="179"/>
      <c r="GS139" s="179"/>
      <c r="GT139" s="179"/>
      <c r="GU139" s="179"/>
      <c r="GV139" s="179"/>
      <c r="GW139" s="179"/>
      <c r="GX139" s="179"/>
      <c r="GY139" s="179"/>
      <c r="GZ139" s="179"/>
      <c r="HA139" s="179"/>
      <c r="HB139" s="179"/>
      <c r="HC139" s="179"/>
      <c r="HD139" s="179"/>
      <c r="HE139" s="179"/>
      <c r="HF139" s="179"/>
      <c r="HG139" s="179"/>
      <c r="HH139" s="179"/>
      <c r="HI139" s="179"/>
      <c r="HJ139" s="179"/>
      <c r="HK139" s="179"/>
      <c r="HL139" s="179"/>
      <c r="HM139" s="179"/>
      <c r="HN139" s="179"/>
      <c r="HO139" s="179"/>
      <c r="HP139" s="179"/>
      <c r="HQ139" s="179"/>
      <c r="HR139" s="179"/>
      <c r="HS139" s="179"/>
      <c r="HT139" s="179"/>
      <c r="HU139" s="179"/>
      <c r="HV139" s="179"/>
      <c r="HW139" s="179"/>
      <c r="HX139" s="179"/>
      <c r="HY139" s="179"/>
      <c r="HZ139" s="179"/>
      <c r="IA139" s="179"/>
      <c r="IB139" s="179"/>
      <c r="IC139" s="179"/>
      <c r="ID139" s="179"/>
      <c r="IE139" s="179"/>
      <c r="IF139" s="179"/>
      <c r="IG139" s="179"/>
      <c r="IH139" s="179"/>
      <c r="II139" s="179"/>
      <c r="IJ139" s="179"/>
      <c r="IK139" s="179"/>
      <c r="IL139" s="179"/>
      <c r="IM139" s="179"/>
      <c r="IN139" s="179"/>
      <c r="IO139" s="179"/>
      <c r="IP139" s="179"/>
      <c r="IQ139" s="179"/>
      <c r="IR139" s="179"/>
    </row>
    <row r="140" spans="1:252">
      <c r="A140" s="325" t="s">
        <v>603</v>
      </c>
      <c r="B140" s="194">
        <f>B139*130*1.302*1.5</f>
        <v>86195.654999999999</v>
      </c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79"/>
      <c r="BJ140" s="179"/>
      <c r="BK140" s="179"/>
      <c r="BL140" s="179"/>
      <c r="BM140" s="179"/>
      <c r="BN140" s="179"/>
      <c r="BO140" s="179"/>
      <c r="BP140" s="179"/>
      <c r="BQ140" s="179"/>
      <c r="BR140" s="179"/>
      <c r="BS140" s="179"/>
      <c r="BT140" s="179"/>
      <c r="BU140" s="179"/>
      <c r="BV140" s="179"/>
      <c r="BW140" s="179"/>
      <c r="BX140" s="179"/>
      <c r="BY140" s="179"/>
      <c r="BZ140" s="179"/>
      <c r="CA140" s="179"/>
      <c r="CB140" s="179"/>
      <c r="CC140" s="179"/>
      <c r="CD140" s="179"/>
      <c r="CE140" s="179"/>
      <c r="CF140" s="179"/>
      <c r="CG140" s="179"/>
      <c r="CH140" s="179"/>
      <c r="CI140" s="179"/>
      <c r="CJ140" s="179"/>
      <c r="CK140" s="179"/>
      <c r="CL140" s="179"/>
      <c r="CM140" s="179"/>
      <c r="CN140" s="179"/>
      <c r="CO140" s="179"/>
      <c r="CP140" s="179"/>
      <c r="CQ140" s="179"/>
      <c r="CR140" s="179"/>
      <c r="CS140" s="179"/>
      <c r="CT140" s="179"/>
      <c r="CU140" s="179"/>
      <c r="CV140" s="179"/>
      <c r="CW140" s="179"/>
      <c r="CX140" s="179"/>
      <c r="CY140" s="179"/>
      <c r="CZ140" s="179"/>
      <c r="DA140" s="179"/>
      <c r="DB140" s="179"/>
      <c r="DC140" s="179"/>
      <c r="DD140" s="179"/>
      <c r="DE140" s="179"/>
      <c r="DF140" s="179"/>
      <c r="DG140" s="179"/>
      <c r="DH140" s="179"/>
      <c r="DI140" s="179"/>
      <c r="DJ140" s="179"/>
      <c r="DK140" s="179"/>
      <c r="DL140" s="179"/>
      <c r="DM140" s="179"/>
      <c r="DN140" s="179"/>
      <c r="DO140" s="179"/>
      <c r="DP140" s="179"/>
      <c r="DQ140" s="179"/>
      <c r="DR140" s="179"/>
      <c r="DS140" s="179"/>
      <c r="DT140" s="179"/>
      <c r="DU140" s="179"/>
      <c r="DV140" s="179"/>
      <c r="DW140" s="179"/>
      <c r="DX140" s="179"/>
      <c r="DY140" s="179"/>
      <c r="DZ140" s="179"/>
      <c r="EA140" s="179"/>
      <c r="EB140" s="179"/>
      <c r="EC140" s="179"/>
      <c r="ED140" s="179"/>
      <c r="EE140" s="179"/>
      <c r="EF140" s="179"/>
      <c r="EG140" s="179"/>
      <c r="EH140" s="179"/>
      <c r="EI140" s="179"/>
      <c r="EJ140" s="179"/>
      <c r="EK140" s="179"/>
      <c r="EL140" s="179"/>
      <c r="EM140" s="179"/>
      <c r="EN140" s="179"/>
      <c r="EO140" s="179"/>
      <c r="EP140" s="179"/>
      <c r="EQ140" s="179"/>
      <c r="ER140" s="179"/>
      <c r="ES140" s="179"/>
      <c r="ET140" s="179"/>
      <c r="EU140" s="179"/>
      <c r="EV140" s="179"/>
      <c r="EW140" s="179"/>
      <c r="EX140" s="179"/>
      <c r="EY140" s="179"/>
      <c r="EZ140" s="179"/>
      <c r="FA140" s="179"/>
      <c r="FB140" s="179"/>
      <c r="FC140" s="179"/>
      <c r="FD140" s="179"/>
      <c r="FE140" s="179"/>
      <c r="FF140" s="179"/>
      <c r="FG140" s="179"/>
      <c r="FH140" s="179"/>
      <c r="FI140" s="179"/>
      <c r="FJ140" s="179"/>
      <c r="FK140" s="179"/>
      <c r="FL140" s="179"/>
      <c r="FM140" s="179"/>
      <c r="FN140" s="179"/>
      <c r="FO140" s="179"/>
      <c r="FP140" s="179"/>
      <c r="FQ140" s="179"/>
      <c r="FR140" s="179"/>
      <c r="FS140" s="179"/>
      <c r="FT140" s="179"/>
      <c r="FU140" s="179"/>
      <c r="FV140" s="179"/>
      <c r="FW140" s="179"/>
      <c r="FX140" s="179"/>
      <c r="FY140" s="179"/>
      <c r="FZ140" s="179"/>
      <c r="GA140" s="179"/>
      <c r="GB140" s="179"/>
      <c r="GC140" s="179"/>
      <c r="GD140" s="179"/>
      <c r="GE140" s="179"/>
      <c r="GF140" s="179"/>
      <c r="GG140" s="179"/>
      <c r="GH140" s="179"/>
      <c r="GI140" s="179"/>
      <c r="GJ140" s="179"/>
      <c r="GK140" s="179"/>
      <c r="GL140" s="179"/>
      <c r="GM140" s="179"/>
      <c r="GN140" s="179"/>
      <c r="GO140" s="179"/>
      <c r="GP140" s="179"/>
      <c r="GQ140" s="179"/>
      <c r="GR140" s="179"/>
      <c r="GS140" s="179"/>
      <c r="GT140" s="179"/>
      <c r="GU140" s="179"/>
      <c r="GV140" s="179"/>
      <c r="GW140" s="179"/>
      <c r="GX140" s="179"/>
      <c r="GY140" s="179"/>
      <c r="GZ140" s="179"/>
      <c r="HA140" s="179"/>
      <c r="HB140" s="179"/>
      <c r="HC140" s="179"/>
      <c r="HD140" s="179"/>
      <c r="HE140" s="179"/>
      <c r="HF140" s="179"/>
      <c r="HG140" s="179"/>
      <c r="HH140" s="179"/>
      <c r="HI140" s="179"/>
      <c r="HJ140" s="179"/>
      <c r="HK140" s="179"/>
      <c r="HL140" s="179"/>
      <c r="HM140" s="179"/>
      <c r="HN140" s="179"/>
      <c r="HO140" s="179"/>
      <c r="HP140" s="179"/>
      <c r="HQ140" s="179"/>
      <c r="HR140" s="179"/>
      <c r="HS140" s="179"/>
      <c r="HT140" s="179"/>
      <c r="HU140" s="179"/>
      <c r="HV140" s="179"/>
      <c r="HW140" s="179"/>
      <c r="HX140" s="179"/>
      <c r="HY140" s="179"/>
      <c r="HZ140" s="179"/>
      <c r="IA140" s="179"/>
      <c r="IB140" s="179"/>
      <c r="IC140" s="179"/>
      <c r="ID140" s="179"/>
      <c r="IE140" s="179"/>
      <c r="IF140" s="179"/>
      <c r="IG140" s="179"/>
      <c r="IH140" s="179"/>
      <c r="II140" s="179"/>
      <c r="IJ140" s="179"/>
      <c r="IK140" s="179"/>
      <c r="IL140" s="179"/>
      <c r="IM140" s="179"/>
      <c r="IN140" s="179"/>
      <c r="IO140" s="179"/>
      <c r="IP140" s="179"/>
      <c r="IQ140" s="179"/>
      <c r="IR140" s="179"/>
    </row>
    <row r="141" spans="1:252">
      <c r="A141" s="325" t="s">
        <v>1603</v>
      </c>
      <c r="B141" s="194">
        <f>(3655.8+38681.17)*1.5</f>
        <v>63505.455000000002</v>
      </c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79"/>
      <c r="BD141" s="179"/>
      <c r="BE141" s="179"/>
      <c r="BF141" s="179"/>
      <c r="BG141" s="179"/>
      <c r="BH141" s="179"/>
      <c r="BI141" s="179"/>
      <c r="BJ141" s="179"/>
      <c r="BK141" s="179"/>
      <c r="BL141" s="179"/>
      <c r="BM141" s="179"/>
      <c r="BN141" s="179"/>
      <c r="BO141" s="179"/>
      <c r="BP141" s="179"/>
      <c r="BQ141" s="179"/>
      <c r="BR141" s="179"/>
      <c r="BS141" s="179"/>
      <c r="BT141" s="179"/>
      <c r="BU141" s="179"/>
      <c r="BV141" s="179"/>
      <c r="BW141" s="179"/>
      <c r="BX141" s="179"/>
      <c r="BY141" s="179"/>
      <c r="BZ141" s="179"/>
      <c r="CA141" s="179"/>
      <c r="CB141" s="179"/>
      <c r="CC141" s="179"/>
      <c r="CD141" s="179"/>
      <c r="CE141" s="179"/>
      <c r="CF141" s="179"/>
      <c r="CG141" s="179"/>
      <c r="CH141" s="179"/>
      <c r="CI141" s="179"/>
      <c r="CJ141" s="179"/>
      <c r="CK141" s="179"/>
      <c r="CL141" s="179"/>
      <c r="CM141" s="179"/>
      <c r="CN141" s="179"/>
      <c r="CO141" s="179"/>
      <c r="CP141" s="179"/>
      <c r="CQ141" s="179"/>
      <c r="CR141" s="179"/>
      <c r="CS141" s="179"/>
      <c r="CT141" s="179"/>
      <c r="CU141" s="179"/>
      <c r="CV141" s="179"/>
      <c r="CW141" s="179"/>
      <c r="CX141" s="179"/>
      <c r="CY141" s="179"/>
      <c r="CZ141" s="179"/>
      <c r="DA141" s="179"/>
      <c r="DB141" s="179"/>
      <c r="DC141" s="179"/>
      <c r="DD141" s="179"/>
      <c r="DE141" s="179"/>
      <c r="DF141" s="179"/>
      <c r="DG141" s="179"/>
      <c r="DH141" s="179"/>
      <c r="DI141" s="179"/>
      <c r="DJ141" s="179"/>
      <c r="DK141" s="179"/>
      <c r="DL141" s="179"/>
      <c r="DM141" s="179"/>
      <c r="DN141" s="179"/>
      <c r="DO141" s="179"/>
      <c r="DP141" s="179"/>
      <c r="DQ141" s="179"/>
      <c r="DR141" s="179"/>
      <c r="DS141" s="179"/>
      <c r="DT141" s="179"/>
      <c r="DU141" s="179"/>
      <c r="DV141" s="179"/>
      <c r="DW141" s="179"/>
      <c r="DX141" s="179"/>
      <c r="DY141" s="179"/>
      <c r="DZ141" s="179"/>
      <c r="EA141" s="179"/>
      <c r="EB141" s="179"/>
      <c r="EC141" s="179"/>
      <c r="ED141" s="179"/>
      <c r="EE141" s="179"/>
      <c r="EF141" s="179"/>
      <c r="EG141" s="179"/>
      <c r="EH141" s="179"/>
      <c r="EI141" s="179"/>
      <c r="EJ141" s="179"/>
      <c r="EK141" s="179"/>
      <c r="EL141" s="179"/>
      <c r="EM141" s="179"/>
      <c r="EN141" s="179"/>
      <c r="EO141" s="179"/>
      <c r="EP141" s="179"/>
      <c r="EQ141" s="179"/>
      <c r="ER141" s="179"/>
      <c r="ES141" s="179"/>
      <c r="ET141" s="179"/>
      <c r="EU141" s="179"/>
      <c r="EV141" s="179"/>
      <c r="EW141" s="179"/>
      <c r="EX141" s="179"/>
      <c r="EY141" s="179"/>
      <c r="EZ141" s="179"/>
      <c r="FA141" s="179"/>
      <c r="FB141" s="179"/>
      <c r="FC141" s="179"/>
      <c r="FD141" s="179"/>
      <c r="FE141" s="179"/>
      <c r="FF141" s="179"/>
      <c r="FG141" s="179"/>
      <c r="FH141" s="179"/>
      <c r="FI141" s="179"/>
      <c r="FJ141" s="179"/>
      <c r="FK141" s="179"/>
      <c r="FL141" s="179"/>
      <c r="FM141" s="179"/>
      <c r="FN141" s="179"/>
      <c r="FO141" s="179"/>
      <c r="FP141" s="179"/>
      <c r="FQ141" s="179"/>
      <c r="FR141" s="179"/>
      <c r="FS141" s="179"/>
      <c r="FT141" s="179"/>
      <c r="FU141" s="179"/>
      <c r="FV141" s="179"/>
      <c r="FW141" s="179"/>
      <c r="FX141" s="179"/>
      <c r="FY141" s="179"/>
      <c r="FZ141" s="179"/>
      <c r="GA141" s="179"/>
      <c r="GB141" s="179"/>
      <c r="GC141" s="179"/>
      <c r="GD141" s="179"/>
      <c r="GE141" s="179"/>
      <c r="GF141" s="179"/>
      <c r="GG141" s="179"/>
      <c r="GH141" s="179"/>
      <c r="GI141" s="179"/>
      <c r="GJ141" s="179"/>
      <c r="GK141" s="179"/>
      <c r="GL141" s="179"/>
      <c r="GM141" s="179"/>
      <c r="GN141" s="179"/>
      <c r="GO141" s="179"/>
      <c r="GP141" s="179"/>
      <c r="GQ141" s="179"/>
      <c r="GR141" s="179"/>
      <c r="GS141" s="179"/>
      <c r="GT141" s="179"/>
      <c r="GU141" s="179"/>
      <c r="GV141" s="179"/>
      <c r="GW141" s="179"/>
      <c r="GX141" s="179"/>
      <c r="GY141" s="179"/>
      <c r="GZ141" s="179"/>
      <c r="HA141" s="179"/>
      <c r="HB141" s="179"/>
      <c r="HC141" s="179"/>
      <c r="HD141" s="179"/>
      <c r="HE141" s="179"/>
      <c r="HF141" s="179"/>
      <c r="HG141" s="179"/>
      <c r="HH141" s="179"/>
      <c r="HI141" s="179"/>
      <c r="HJ141" s="179"/>
      <c r="HK141" s="179"/>
      <c r="HL141" s="179"/>
      <c r="HM141" s="179"/>
      <c r="HN141" s="179"/>
      <c r="HO141" s="179"/>
      <c r="HP141" s="179"/>
      <c r="HQ141" s="179"/>
      <c r="HR141" s="179"/>
      <c r="HS141" s="179"/>
      <c r="HT141" s="179"/>
      <c r="HU141" s="179"/>
      <c r="HV141" s="179"/>
      <c r="HW141" s="179"/>
      <c r="HX141" s="179"/>
      <c r="HY141" s="179"/>
      <c r="HZ141" s="179"/>
      <c r="IA141" s="179"/>
      <c r="IB141" s="179"/>
      <c r="IC141" s="179"/>
      <c r="ID141" s="179"/>
      <c r="IE141" s="179"/>
      <c r="IF141" s="179"/>
      <c r="IG141" s="179"/>
      <c r="IH141" s="179"/>
      <c r="II141" s="179"/>
      <c r="IJ141" s="179"/>
      <c r="IK141" s="179"/>
      <c r="IL141" s="179"/>
      <c r="IM141" s="179"/>
      <c r="IN141" s="179"/>
      <c r="IO141" s="179"/>
      <c r="IP141" s="179"/>
      <c r="IQ141" s="179"/>
      <c r="IR141" s="179"/>
    </row>
    <row r="142" spans="1:252">
      <c r="A142" s="325" t="s">
        <v>724</v>
      </c>
      <c r="B142" s="194">
        <f>8891.7*1.5</f>
        <v>13337.550000000001</v>
      </c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  <c r="BI142" s="179"/>
      <c r="BJ142" s="179"/>
      <c r="BK142" s="179"/>
      <c r="BL142" s="179"/>
      <c r="BM142" s="179"/>
      <c r="BN142" s="179"/>
      <c r="BO142" s="179"/>
      <c r="BP142" s="179"/>
      <c r="BQ142" s="179"/>
      <c r="BR142" s="179"/>
      <c r="BS142" s="179"/>
      <c r="BT142" s="179"/>
      <c r="BU142" s="179"/>
      <c r="BV142" s="179"/>
      <c r="BW142" s="179"/>
      <c r="BX142" s="179"/>
      <c r="BY142" s="179"/>
      <c r="BZ142" s="179"/>
      <c r="CA142" s="179"/>
      <c r="CB142" s="179"/>
      <c r="CC142" s="179"/>
      <c r="CD142" s="179"/>
      <c r="CE142" s="179"/>
      <c r="CF142" s="179"/>
      <c r="CG142" s="179"/>
      <c r="CH142" s="179"/>
      <c r="CI142" s="179"/>
      <c r="CJ142" s="179"/>
      <c r="CK142" s="179"/>
      <c r="CL142" s="179"/>
      <c r="CM142" s="179"/>
      <c r="CN142" s="179"/>
      <c r="CO142" s="179"/>
      <c r="CP142" s="179"/>
      <c r="CQ142" s="179"/>
      <c r="CR142" s="179"/>
      <c r="CS142" s="179"/>
      <c r="CT142" s="179"/>
      <c r="CU142" s="179"/>
      <c r="CV142" s="179"/>
      <c r="CW142" s="179"/>
      <c r="CX142" s="179"/>
      <c r="CY142" s="179"/>
      <c r="CZ142" s="179"/>
      <c r="DA142" s="179"/>
      <c r="DB142" s="179"/>
      <c r="DC142" s="179"/>
      <c r="DD142" s="179"/>
      <c r="DE142" s="179"/>
      <c r="DF142" s="179"/>
      <c r="DG142" s="179"/>
      <c r="DH142" s="179"/>
      <c r="DI142" s="179"/>
      <c r="DJ142" s="179"/>
      <c r="DK142" s="179"/>
      <c r="DL142" s="179"/>
      <c r="DM142" s="179"/>
      <c r="DN142" s="179"/>
      <c r="DO142" s="179"/>
      <c r="DP142" s="179"/>
      <c r="DQ142" s="179"/>
      <c r="DR142" s="179"/>
      <c r="DS142" s="179"/>
      <c r="DT142" s="179"/>
      <c r="DU142" s="179"/>
      <c r="DV142" s="179"/>
      <c r="DW142" s="179"/>
      <c r="DX142" s="179"/>
      <c r="DY142" s="179"/>
      <c r="DZ142" s="179"/>
      <c r="EA142" s="179"/>
      <c r="EB142" s="179"/>
      <c r="EC142" s="179"/>
      <c r="ED142" s="179"/>
      <c r="EE142" s="179"/>
      <c r="EF142" s="179"/>
      <c r="EG142" s="179"/>
      <c r="EH142" s="179"/>
      <c r="EI142" s="179"/>
      <c r="EJ142" s="179"/>
      <c r="EK142" s="179"/>
      <c r="EL142" s="179"/>
      <c r="EM142" s="179"/>
      <c r="EN142" s="179"/>
      <c r="EO142" s="179"/>
      <c r="EP142" s="179"/>
      <c r="EQ142" s="179"/>
      <c r="ER142" s="179"/>
      <c r="ES142" s="179"/>
      <c r="ET142" s="179"/>
      <c r="EU142" s="179"/>
      <c r="EV142" s="179"/>
      <c r="EW142" s="179"/>
      <c r="EX142" s="179"/>
      <c r="EY142" s="179"/>
      <c r="EZ142" s="179"/>
      <c r="FA142" s="179"/>
      <c r="FB142" s="179"/>
      <c r="FC142" s="179"/>
      <c r="FD142" s="179"/>
      <c r="FE142" s="179"/>
      <c r="FF142" s="179"/>
      <c r="FG142" s="179"/>
      <c r="FH142" s="179"/>
      <c r="FI142" s="179"/>
      <c r="FJ142" s="179"/>
      <c r="FK142" s="179"/>
      <c r="FL142" s="179"/>
      <c r="FM142" s="179"/>
      <c r="FN142" s="179"/>
      <c r="FO142" s="179"/>
      <c r="FP142" s="179"/>
      <c r="FQ142" s="179"/>
      <c r="FR142" s="179"/>
      <c r="FS142" s="179"/>
      <c r="FT142" s="179"/>
      <c r="FU142" s="179"/>
      <c r="FV142" s="179"/>
      <c r="FW142" s="179"/>
      <c r="FX142" s="179"/>
      <c r="FY142" s="179"/>
      <c r="FZ142" s="179"/>
      <c r="GA142" s="179"/>
      <c r="GB142" s="179"/>
      <c r="GC142" s="179"/>
      <c r="GD142" s="179"/>
      <c r="GE142" s="179"/>
      <c r="GF142" s="179"/>
      <c r="GG142" s="179"/>
      <c r="GH142" s="179"/>
      <c r="GI142" s="179"/>
      <c r="GJ142" s="179"/>
      <c r="GK142" s="179"/>
      <c r="GL142" s="179"/>
      <c r="GM142" s="179"/>
      <c r="GN142" s="179"/>
      <c r="GO142" s="179"/>
      <c r="GP142" s="179"/>
      <c r="GQ142" s="179"/>
      <c r="GR142" s="179"/>
      <c r="GS142" s="179"/>
      <c r="GT142" s="179"/>
      <c r="GU142" s="179"/>
      <c r="GV142" s="179"/>
      <c r="GW142" s="179"/>
      <c r="GX142" s="179"/>
      <c r="GY142" s="179"/>
      <c r="GZ142" s="179"/>
      <c r="HA142" s="179"/>
      <c r="HB142" s="179"/>
      <c r="HC142" s="179"/>
      <c r="HD142" s="179"/>
      <c r="HE142" s="179"/>
      <c r="HF142" s="179"/>
      <c r="HG142" s="179"/>
      <c r="HH142" s="179"/>
      <c r="HI142" s="179"/>
      <c r="HJ142" s="179"/>
      <c r="HK142" s="179"/>
      <c r="HL142" s="179"/>
      <c r="HM142" s="179"/>
      <c r="HN142" s="179"/>
      <c r="HO142" s="179"/>
      <c r="HP142" s="179"/>
      <c r="HQ142" s="179"/>
      <c r="HR142" s="179"/>
      <c r="HS142" s="179"/>
      <c r="HT142" s="179"/>
      <c r="HU142" s="179"/>
      <c r="HV142" s="179"/>
      <c r="HW142" s="179"/>
      <c r="HX142" s="179"/>
      <c r="HY142" s="179"/>
      <c r="HZ142" s="179"/>
      <c r="IA142" s="179"/>
      <c r="IB142" s="179"/>
      <c r="IC142" s="179"/>
      <c r="ID142" s="179"/>
      <c r="IE142" s="179"/>
      <c r="IF142" s="179"/>
      <c r="IG142" s="179"/>
      <c r="IH142" s="179"/>
      <c r="II142" s="179"/>
      <c r="IJ142" s="179"/>
      <c r="IK142" s="179"/>
      <c r="IL142" s="179"/>
      <c r="IM142" s="179"/>
      <c r="IN142" s="179"/>
      <c r="IO142" s="179"/>
      <c r="IP142" s="179"/>
      <c r="IQ142" s="179"/>
      <c r="IR142" s="179"/>
    </row>
    <row r="143" spans="1:252">
      <c r="A143" s="325" t="s">
        <v>1599</v>
      </c>
      <c r="B143" s="194">
        <v>99189.53</v>
      </c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  <c r="BH143" s="179"/>
      <c r="BI143" s="179"/>
      <c r="BJ143" s="179"/>
      <c r="BK143" s="179"/>
      <c r="BL143" s="179"/>
      <c r="BM143" s="179"/>
      <c r="BN143" s="179"/>
      <c r="BO143" s="179"/>
      <c r="BP143" s="179"/>
      <c r="BQ143" s="179"/>
      <c r="BR143" s="179"/>
      <c r="BS143" s="179"/>
      <c r="BT143" s="179"/>
      <c r="BU143" s="179"/>
      <c r="BV143" s="179"/>
      <c r="BW143" s="179"/>
      <c r="BX143" s="179"/>
      <c r="BY143" s="179"/>
      <c r="BZ143" s="179"/>
      <c r="CA143" s="179"/>
      <c r="CB143" s="179"/>
      <c r="CC143" s="179"/>
      <c r="CD143" s="179"/>
      <c r="CE143" s="179"/>
      <c r="CF143" s="179"/>
      <c r="CG143" s="179"/>
      <c r="CH143" s="179"/>
      <c r="CI143" s="179"/>
      <c r="CJ143" s="179"/>
      <c r="CK143" s="179"/>
      <c r="CL143" s="179"/>
      <c r="CM143" s="179"/>
      <c r="CN143" s="179"/>
      <c r="CO143" s="179"/>
      <c r="CP143" s="179"/>
      <c r="CQ143" s="179"/>
      <c r="CR143" s="179"/>
      <c r="CS143" s="179"/>
      <c r="CT143" s="179"/>
      <c r="CU143" s="179"/>
      <c r="CV143" s="179"/>
      <c r="CW143" s="179"/>
      <c r="CX143" s="179"/>
      <c r="CY143" s="179"/>
      <c r="CZ143" s="179"/>
      <c r="DA143" s="179"/>
      <c r="DB143" s="179"/>
      <c r="DC143" s="179"/>
      <c r="DD143" s="179"/>
      <c r="DE143" s="179"/>
      <c r="DF143" s="179"/>
      <c r="DG143" s="179"/>
      <c r="DH143" s="179"/>
      <c r="DI143" s="179"/>
      <c r="DJ143" s="179"/>
      <c r="DK143" s="179"/>
      <c r="DL143" s="179"/>
      <c r="DM143" s="179"/>
      <c r="DN143" s="179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9"/>
      <c r="EF143" s="179"/>
      <c r="EG143" s="179"/>
      <c r="EH143" s="179"/>
      <c r="EI143" s="179"/>
      <c r="EJ143" s="179"/>
      <c r="EK143" s="179"/>
      <c r="EL143" s="179"/>
      <c r="EM143" s="179"/>
      <c r="EN143" s="179"/>
      <c r="EO143" s="179"/>
      <c r="EP143" s="179"/>
      <c r="EQ143" s="179"/>
      <c r="ER143" s="179"/>
      <c r="ES143" s="179"/>
      <c r="ET143" s="179"/>
      <c r="EU143" s="179"/>
      <c r="EV143" s="179"/>
      <c r="EW143" s="179"/>
      <c r="EX143" s="179"/>
      <c r="EY143" s="179"/>
      <c r="EZ143" s="179"/>
      <c r="FA143" s="179"/>
      <c r="FB143" s="179"/>
      <c r="FC143" s="179"/>
      <c r="FD143" s="179"/>
      <c r="FE143" s="179"/>
      <c r="FF143" s="179"/>
      <c r="FG143" s="179"/>
      <c r="FH143" s="179"/>
      <c r="FI143" s="179"/>
      <c r="FJ143" s="179"/>
      <c r="FK143" s="179"/>
      <c r="FL143" s="179"/>
      <c r="FM143" s="179"/>
      <c r="FN143" s="179"/>
      <c r="FO143" s="179"/>
      <c r="FP143" s="179"/>
      <c r="FQ143" s="179"/>
      <c r="FR143" s="179"/>
      <c r="FS143" s="179"/>
      <c r="FT143" s="179"/>
      <c r="FU143" s="179"/>
      <c r="FV143" s="179"/>
      <c r="FW143" s="179"/>
      <c r="FX143" s="179"/>
      <c r="FY143" s="179"/>
      <c r="FZ143" s="179"/>
      <c r="GA143" s="179"/>
      <c r="GB143" s="179"/>
      <c r="GC143" s="179"/>
      <c r="GD143" s="179"/>
      <c r="GE143" s="179"/>
      <c r="GF143" s="179"/>
      <c r="GG143" s="179"/>
      <c r="GH143" s="179"/>
      <c r="GI143" s="179"/>
      <c r="GJ143" s="179"/>
      <c r="GK143" s="179"/>
      <c r="GL143" s="179"/>
      <c r="GM143" s="179"/>
      <c r="GN143" s="179"/>
      <c r="GO143" s="179"/>
      <c r="GP143" s="179"/>
      <c r="GQ143" s="179"/>
      <c r="GR143" s="179"/>
      <c r="GS143" s="179"/>
      <c r="GT143" s="179"/>
      <c r="GU143" s="179"/>
      <c r="GV143" s="179"/>
      <c r="GW143" s="179"/>
      <c r="GX143" s="179"/>
      <c r="GY143" s="179"/>
      <c r="GZ143" s="179"/>
      <c r="HA143" s="179"/>
      <c r="HB143" s="179"/>
      <c r="HC143" s="179"/>
      <c r="HD143" s="179"/>
      <c r="HE143" s="179"/>
      <c r="HF143" s="179"/>
      <c r="HG143" s="179"/>
      <c r="HH143" s="179"/>
      <c r="HI143" s="179"/>
      <c r="HJ143" s="179"/>
      <c r="HK143" s="179"/>
      <c r="HL143" s="179"/>
      <c r="HM143" s="179"/>
      <c r="HN143" s="179"/>
      <c r="HO143" s="179"/>
      <c r="HP143" s="179"/>
      <c r="HQ143" s="179"/>
      <c r="HR143" s="179"/>
      <c r="HS143" s="179"/>
      <c r="HT143" s="179"/>
      <c r="HU143" s="179"/>
      <c r="HV143" s="179"/>
      <c r="HW143" s="179"/>
      <c r="HX143" s="179"/>
      <c r="HY143" s="179"/>
      <c r="HZ143" s="179"/>
      <c r="IA143" s="179"/>
      <c r="IB143" s="179"/>
      <c r="IC143" s="179"/>
      <c r="ID143" s="179"/>
      <c r="IE143" s="179"/>
      <c r="IF143" s="179"/>
      <c r="IG143" s="179"/>
      <c r="IH143" s="179"/>
      <c r="II143" s="179"/>
      <c r="IJ143" s="179"/>
      <c r="IK143" s="179"/>
      <c r="IL143" s="179"/>
      <c r="IM143" s="179"/>
      <c r="IN143" s="179"/>
      <c r="IO143" s="179"/>
      <c r="IP143" s="179"/>
      <c r="IQ143" s="179"/>
      <c r="IR143" s="179"/>
    </row>
    <row r="144" spans="1:252" s="75" customFormat="1">
      <c r="A144" s="542" t="s">
        <v>2600</v>
      </c>
      <c r="B144" s="194">
        <f>B130-B132-B143</f>
        <v>-6187.1609509254049</v>
      </c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  <c r="EG144" s="197"/>
      <c r="EH144" s="197"/>
      <c r="EI144" s="197"/>
      <c r="EJ144" s="197"/>
      <c r="EK144" s="197"/>
      <c r="EL144" s="197"/>
      <c r="EM144" s="197"/>
      <c r="EN144" s="197"/>
      <c r="EO144" s="197"/>
      <c r="EP144" s="197"/>
      <c r="EQ144" s="197"/>
      <c r="ER144" s="197"/>
      <c r="ES144" s="197"/>
      <c r="ET144" s="197"/>
      <c r="EU144" s="197"/>
      <c r="EV144" s="197"/>
      <c r="EW144" s="197"/>
      <c r="EX144" s="197"/>
      <c r="EY144" s="197"/>
      <c r="EZ144" s="197"/>
      <c r="FA144" s="197"/>
      <c r="FB144" s="197"/>
      <c r="FC144" s="197"/>
      <c r="FD144" s="197"/>
      <c r="FE144" s="197"/>
      <c r="FF144" s="197"/>
      <c r="FG144" s="197"/>
      <c r="FH144" s="197"/>
      <c r="FI144" s="197"/>
      <c r="FJ144" s="197"/>
      <c r="FK144" s="197"/>
      <c r="FL144" s="197"/>
      <c r="FM144" s="197"/>
      <c r="FN144" s="197"/>
      <c r="FO144" s="197"/>
      <c r="FP144" s="197"/>
      <c r="FQ144" s="197"/>
      <c r="FR144" s="197"/>
      <c r="FS144" s="197"/>
      <c r="FT144" s="197"/>
      <c r="FU144" s="197"/>
      <c r="FV144" s="197"/>
      <c r="FW144" s="197"/>
      <c r="FX144" s="197"/>
      <c r="FY144" s="197"/>
      <c r="FZ144" s="197"/>
      <c r="GA144" s="197"/>
      <c r="GB144" s="197"/>
      <c r="GC144" s="197"/>
      <c r="GD144" s="197"/>
      <c r="GE144" s="197"/>
      <c r="GF144" s="197"/>
      <c r="GG144" s="197"/>
      <c r="GH144" s="197"/>
      <c r="GI144" s="197"/>
      <c r="GJ144" s="197"/>
      <c r="GK144" s="197"/>
      <c r="GL144" s="197"/>
      <c r="GM144" s="197"/>
      <c r="GN144" s="197"/>
      <c r="GO144" s="197"/>
      <c r="GP144" s="197"/>
      <c r="GQ144" s="197"/>
      <c r="GR144" s="197"/>
      <c r="GS144" s="197"/>
      <c r="GT144" s="197"/>
      <c r="GU144" s="197"/>
      <c r="GV144" s="197"/>
      <c r="GW144" s="197"/>
      <c r="GX144" s="197"/>
      <c r="GY144" s="197"/>
      <c r="GZ144" s="197"/>
      <c r="HA144" s="197"/>
      <c r="HB144" s="197"/>
      <c r="HC144" s="197"/>
      <c r="HD144" s="197"/>
      <c r="HE144" s="197"/>
      <c r="HF144" s="197"/>
      <c r="HG144" s="197"/>
      <c r="HH144" s="197"/>
      <c r="HI144" s="197"/>
      <c r="HJ144" s="197"/>
      <c r="HK144" s="197"/>
      <c r="HL144" s="197"/>
      <c r="HM144" s="197"/>
      <c r="HN144" s="197"/>
      <c r="HO144" s="197"/>
      <c r="HP144" s="197"/>
      <c r="HQ144" s="197"/>
      <c r="HR144" s="197"/>
      <c r="HS144" s="197"/>
      <c r="HT144" s="197"/>
      <c r="HU144" s="197"/>
      <c r="HV144" s="197"/>
      <c r="HW144" s="197"/>
      <c r="HX144" s="197"/>
      <c r="HY144" s="197"/>
      <c r="HZ144" s="197"/>
      <c r="IA144" s="197"/>
      <c r="IB144" s="197"/>
      <c r="IC144" s="197"/>
      <c r="ID144" s="197"/>
      <c r="IE144" s="197"/>
      <c r="IF144" s="197"/>
      <c r="IG144" s="197"/>
      <c r="IH144" s="197"/>
      <c r="II144" s="197"/>
      <c r="IJ144" s="197"/>
      <c r="IK144" s="197"/>
      <c r="IL144" s="197"/>
      <c r="IM144" s="197"/>
      <c r="IN144" s="197"/>
      <c r="IO144" s="197"/>
    </row>
    <row r="145" spans="1:252" s="75" customFormat="1">
      <c r="A145" s="567"/>
      <c r="B145" s="568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  <c r="EG145" s="197"/>
      <c r="EH145" s="197"/>
      <c r="EI145" s="197"/>
      <c r="EJ145" s="197"/>
      <c r="EK145" s="197"/>
      <c r="EL145" s="197"/>
      <c r="EM145" s="197"/>
      <c r="EN145" s="197"/>
      <c r="EO145" s="197"/>
      <c r="EP145" s="197"/>
      <c r="EQ145" s="197"/>
      <c r="ER145" s="197"/>
      <c r="ES145" s="197"/>
      <c r="ET145" s="197"/>
      <c r="EU145" s="197"/>
      <c r="EV145" s="197"/>
      <c r="EW145" s="197"/>
      <c r="EX145" s="197"/>
      <c r="EY145" s="197"/>
      <c r="EZ145" s="197"/>
      <c r="FA145" s="197"/>
      <c r="FB145" s="197"/>
      <c r="FC145" s="197"/>
      <c r="FD145" s="197"/>
      <c r="FE145" s="197"/>
      <c r="FF145" s="197"/>
      <c r="FG145" s="197"/>
      <c r="FH145" s="197"/>
      <c r="FI145" s="197"/>
      <c r="FJ145" s="197"/>
      <c r="FK145" s="197"/>
      <c r="FL145" s="197"/>
      <c r="FM145" s="197"/>
      <c r="FN145" s="197"/>
      <c r="FO145" s="197"/>
      <c r="FP145" s="197"/>
      <c r="FQ145" s="197"/>
      <c r="FR145" s="197"/>
      <c r="FS145" s="197"/>
      <c r="FT145" s="197"/>
      <c r="FU145" s="197"/>
      <c r="FV145" s="197"/>
      <c r="FW145" s="197"/>
      <c r="FX145" s="197"/>
      <c r="FY145" s="197"/>
      <c r="FZ145" s="197"/>
      <c r="GA145" s="197"/>
      <c r="GB145" s="197"/>
      <c r="GC145" s="197"/>
      <c r="GD145" s="197"/>
      <c r="GE145" s="197"/>
      <c r="GF145" s="197"/>
      <c r="GG145" s="197"/>
      <c r="GH145" s="197"/>
      <c r="GI145" s="197"/>
      <c r="GJ145" s="197"/>
      <c r="GK145" s="197"/>
      <c r="GL145" s="197"/>
      <c r="GM145" s="197"/>
      <c r="GN145" s="197"/>
      <c r="GO145" s="197"/>
      <c r="GP145" s="197"/>
      <c r="GQ145" s="197"/>
      <c r="GR145" s="197"/>
      <c r="GS145" s="197"/>
      <c r="GT145" s="197"/>
      <c r="GU145" s="197"/>
      <c r="GV145" s="197"/>
      <c r="GW145" s="197"/>
      <c r="GX145" s="197"/>
      <c r="GY145" s="197"/>
      <c r="GZ145" s="197"/>
      <c r="HA145" s="197"/>
      <c r="HB145" s="197"/>
      <c r="HC145" s="197"/>
      <c r="HD145" s="197"/>
      <c r="HE145" s="197"/>
      <c r="HF145" s="197"/>
      <c r="HG145" s="197"/>
      <c r="HH145" s="197"/>
      <c r="HI145" s="197"/>
      <c r="HJ145" s="197"/>
      <c r="HK145" s="197"/>
      <c r="HL145" s="197"/>
      <c r="HM145" s="197"/>
      <c r="HN145" s="197"/>
      <c r="HO145" s="197"/>
      <c r="HP145" s="197"/>
      <c r="HQ145" s="197"/>
      <c r="HR145" s="197"/>
      <c r="HS145" s="197"/>
      <c r="HT145" s="197"/>
      <c r="HU145" s="197"/>
      <c r="HV145" s="197"/>
      <c r="HW145" s="197"/>
      <c r="HX145" s="197"/>
      <c r="HY145" s="197"/>
      <c r="HZ145" s="197"/>
      <c r="IA145" s="197"/>
      <c r="IB145" s="197"/>
      <c r="IC145" s="197"/>
      <c r="ID145" s="197"/>
      <c r="IE145" s="197"/>
      <c r="IF145" s="197"/>
      <c r="IG145" s="197"/>
      <c r="IH145" s="197"/>
      <c r="II145" s="197"/>
      <c r="IJ145" s="197"/>
      <c r="IK145" s="197"/>
      <c r="IL145" s="197"/>
      <c r="IM145" s="197"/>
      <c r="IN145" s="197"/>
      <c r="IO145" s="197"/>
    </row>
    <row r="146" spans="1:252">
      <c r="A146" s="566" t="s">
        <v>605</v>
      </c>
      <c r="B146" s="230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79"/>
      <c r="BN146" s="179"/>
      <c r="BO146" s="179"/>
      <c r="BP146" s="179"/>
      <c r="BQ146" s="179"/>
      <c r="BR146" s="179"/>
      <c r="BS146" s="179"/>
      <c r="BT146" s="179"/>
      <c r="BU146" s="179"/>
      <c r="BV146" s="179"/>
      <c r="BW146" s="179"/>
      <c r="BX146" s="179"/>
      <c r="BY146" s="179"/>
      <c r="BZ146" s="179"/>
      <c r="CA146" s="179"/>
      <c r="CB146" s="179"/>
      <c r="CC146" s="179"/>
      <c r="CD146" s="179"/>
      <c r="CE146" s="179"/>
      <c r="CF146" s="179"/>
      <c r="CG146" s="179"/>
      <c r="CH146" s="179"/>
      <c r="CI146" s="179"/>
      <c r="CJ146" s="179"/>
      <c r="CK146" s="179"/>
      <c r="CL146" s="179"/>
      <c r="CM146" s="179"/>
      <c r="CN146" s="179"/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  <c r="DB146" s="179"/>
      <c r="DC146" s="179"/>
      <c r="DD146" s="179"/>
      <c r="DE146" s="179"/>
      <c r="DF146" s="179"/>
      <c r="DG146" s="179"/>
      <c r="DH146" s="179"/>
      <c r="DI146" s="179"/>
      <c r="DJ146" s="179"/>
      <c r="DK146" s="179"/>
      <c r="DL146" s="179"/>
      <c r="DM146" s="179"/>
      <c r="DN146" s="179"/>
      <c r="DO146" s="179"/>
      <c r="DP146" s="179"/>
      <c r="DQ146" s="179"/>
      <c r="DR146" s="179"/>
      <c r="DS146" s="179"/>
      <c r="DT146" s="179"/>
      <c r="DU146" s="179"/>
      <c r="DV146" s="179"/>
      <c r="DW146" s="179"/>
      <c r="DX146" s="179"/>
      <c r="DY146" s="179"/>
      <c r="DZ146" s="179"/>
      <c r="EA146" s="179"/>
      <c r="EB146" s="179"/>
      <c r="EC146" s="179"/>
      <c r="ED146" s="179"/>
      <c r="EE146" s="179"/>
      <c r="EF146" s="179"/>
      <c r="EG146" s="179"/>
      <c r="EH146" s="179"/>
      <c r="EI146" s="179"/>
      <c r="EJ146" s="179"/>
      <c r="EK146" s="179"/>
      <c r="EL146" s="179"/>
      <c r="EM146" s="179"/>
      <c r="EN146" s="179"/>
      <c r="EO146" s="179"/>
      <c r="EP146" s="179"/>
      <c r="EQ146" s="179"/>
      <c r="ER146" s="179"/>
      <c r="ES146" s="179"/>
      <c r="ET146" s="179"/>
      <c r="EU146" s="179"/>
      <c r="EV146" s="179"/>
      <c r="EW146" s="179"/>
      <c r="EX146" s="179"/>
      <c r="EY146" s="179"/>
      <c r="EZ146" s="179"/>
      <c r="FA146" s="179"/>
      <c r="FB146" s="179"/>
      <c r="FC146" s="179"/>
      <c r="FD146" s="179"/>
      <c r="FE146" s="179"/>
      <c r="FF146" s="179"/>
      <c r="FG146" s="179"/>
      <c r="FH146" s="179"/>
      <c r="FI146" s="179"/>
      <c r="FJ146" s="179"/>
      <c r="FK146" s="179"/>
      <c r="FL146" s="179"/>
      <c r="FM146" s="179"/>
      <c r="FN146" s="179"/>
      <c r="FO146" s="179"/>
      <c r="FP146" s="179"/>
      <c r="FQ146" s="179"/>
      <c r="FR146" s="179"/>
      <c r="FS146" s="179"/>
      <c r="FT146" s="179"/>
      <c r="FU146" s="179"/>
      <c r="FV146" s="179"/>
      <c r="FW146" s="179"/>
      <c r="FX146" s="179"/>
      <c r="FY146" s="179"/>
      <c r="FZ146" s="179"/>
      <c r="GA146" s="179"/>
      <c r="GB146" s="179"/>
      <c r="GC146" s="179"/>
      <c r="GD146" s="179"/>
      <c r="GE146" s="179"/>
      <c r="GF146" s="179"/>
      <c r="GG146" s="179"/>
      <c r="GH146" s="179"/>
      <c r="GI146" s="179"/>
      <c r="GJ146" s="179"/>
      <c r="GK146" s="179"/>
      <c r="GL146" s="179"/>
      <c r="GM146" s="179"/>
      <c r="GN146" s="179"/>
      <c r="GO146" s="179"/>
      <c r="GP146" s="179"/>
      <c r="GQ146" s="179"/>
      <c r="GR146" s="179"/>
      <c r="GS146" s="179"/>
      <c r="GT146" s="179"/>
      <c r="GU146" s="179"/>
      <c r="GV146" s="179"/>
      <c r="GW146" s="179"/>
      <c r="GX146" s="179"/>
      <c r="GY146" s="179"/>
      <c r="GZ146" s="179"/>
      <c r="HA146" s="179"/>
      <c r="HB146" s="179"/>
      <c r="HC146" s="179"/>
      <c r="HD146" s="179"/>
      <c r="HE146" s="179"/>
      <c r="HF146" s="179"/>
      <c r="HG146" s="179"/>
      <c r="HH146" s="179"/>
      <c r="HI146" s="179"/>
      <c r="HJ146" s="179"/>
      <c r="HK146" s="179"/>
      <c r="HL146" s="179"/>
      <c r="HM146" s="179"/>
      <c r="HN146" s="179"/>
      <c r="HO146" s="179"/>
      <c r="HP146" s="179"/>
      <c r="HQ146" s="179"/>
      <c r="HR146" s="179"/>
      <c r="HS146" s="179"/>
      <c r="HT146" s="179"/>
      <c r="HU146" s="179"/>
      <c r="HV146" s="179"/>
      <c r="HW146" s="179"/>
      <c r="HX146" s="179"/>
      <c r="HY146" s="179"/>
      <c r="HZ146" s="179"/>
      <c r="IA146" s="179"/>
      <c r="IB146" s="179"/>
      <c r="IC146" s="179"/>
      <c r="ID146" s="179"/>
      <c r="IE146" s="179"/>
      <c r="IF146" s="179"/>
      <c r="IG146" s="179"/>
      <c r="IH146" s="179"/>
      <c r="II146" s="179"/>
      <c r="IJ146" s="179"/>
      <c r="IK146" s="179"/>
      <c r="IL146" s="179"/>
      <c r="IM146" s="179"/>
      <c r="IN146" s="179"/>
      <c r="IO146" s="179"/>
      <c r="IP146" s="179"/>
      <c r="IQ146" s="179"/>
      <c r="IR146" s="179"/>
    </row>
    <row r="148" spans="1:252">
      <c r="A148" s="321" t="s">
        <v>519</v>
      </c>
      <c r="B148">
        <f>5.94*B123*12</f>
        <v>188001.00000000003</v>
      </c>
    </row>
    <row r="149" spans="1:252">
      <c r="B149" s="276">
        <f>B132+B148</f>
        <v>644375.92095092533</v>
      </c>
    </row>
    <row r="150" spans="1:252">
      <c r="B150">
        <f>B149/B132</f>
        <v>1.4119441962504684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16" orientation="landscape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80"/>
  <sheetViews>
    <sheetView topLeftCell="A151" workbookViewId="0">
      <selection activeCell="A151" sqref="A151:B176"/>
    </sheetView>
  </sheetViews>
  <sheetFormatPr defaultRowHeight="15"/>
  <cols>
    <col min="1" max="1" width="85.85546875" customWidth="1"/>
    <col min="2" max="2" width="11.85546875" customWidth="1"/>
  </cols>
  <sheetData>
    <row r="1" spans="1:2" s="75" customFormat="1" ht="15.75">
      <c r="A1" s="701" t="s">
        <v>230</v>
      </c>
      <c r="B1" s="701"/>
    </row>
    <row r="2" spans="1:2" s="75" customFormat="1" ht="15.75">
      <c r="A2" s="702" t="s">
        <v>242</v>
      </c>
      <c r="B2" s="702"/>
    </row>
    <row r="3" spans="1:2" s="74" customFormat="1" ht="15.75">
      <c r="A3" s="702" t="s">
        <v>2290</v>
      </c>
      <c r="B3" s="702"/>
    </row>
    <row r="4" spans="1:2" s="74" customFormat="1" ht="15.75">
      <c r="A4" s="126"/>
    </row>
    <row r="5" spans="1:2" ht="46.5" customHeight="1">
      <c r="A5" s="554" t="s">
        <v>229</v>
      </c>
      <c r="B5" s="82" t="s">
        <v>523</v>
      </c>
    </row>
    <row r="6" spans="1:2" s="73" customFormat="1">
      <c r="A6" s="224" t="s">
        <v>229</v>
      </c>
      <c r="B6" s="72"/>
    </row>
    <row r="7" spans="1:2" s="73" customFormat="1">
      <c r="A7" s="191" t="s">
        <v>0</v>
      </c>
      <c r="B7" s="72"/>
    </row>
    <row r="8" spans="1:2" s="73" customFormat="1" ht="15.75" thickBot="1">
      <c r="A8" s="560" t="s">
        <v>29</v>
      </c>
      <c r="B8" s="72"/>
    </row>
    <row r="9" spans="1:2" s="73" customFormat="1" ht="15.75" thickBot="1">
      <c r="A9" s="563" t="s">
        <v>56</v>
      </c>
      <c r="B9" s="72"/>
    </row>
    <row r="10" spans="1:2" s="73" customFormat="1" ht="15.75" thickBot="1">
      <c r="A10" s="557" t="s">
        <v>57</v>
      </c>
      <c r="B10" s="72"/>
    </row>
    <row r="11" spans="1:2" s="73" customFormat="1" ht="29.25" thickBot="1">
      <c r="A11" s="540" t="s">
        <v>2291</v>
      </c>
      <c r="B11" s="72">
        <v>4</v>
      </c>
    </row>
    <row r="12" spans="1:2" s="73" customFormat="1" ht="15.75" thickBot="1">
      <c r="A12" s="540" t="s">
        <v>2327</v>
      </c>
      <c r="B12" s="72">
        <v>8</v>
      </c>
    </row>
    <row r="13" spans="1:2" s="73" customFormat="1">
      <c r="A13" s="132" t="s">
        <v>2336</v>
      </c>
      <c r="B13" s="72">
        <v>4</v>
      </c>
    </row>
    <row r="14" spans="1:2" s="73" customFormat="1" ht="28.5">
      <c r="A14" s="400" t="s">
        <v>2339</v>
      </c>
      <c r="B14" s="72">
        <v>4</v>
      </c>
    </row>
    <row r="15" spans="1:2" s="73" customFormat="1" ht="28.5">
      <c r="A15" s="561" t="s">
        <v>2350</v>
      </c>
      <c r="B15" s="72">
        <v>1</v>
      </c>
    </row>
    <row r="16" spans="1:2" s="73" customFormat="1" ht="15" customHeight="1">
      <c r="A16" s="561" t="s">
        <v>2351</v>
      </c>
      <c r="B16" s="72">
        <v>12</v>
      </c>
    </row>
    <row r="17" spans="1:2" s="73" customFormat="1">
      <c r="A17" s="562" t="s">
        <v>2352</v>
      </c>
      <c r="B17" s="72">
        <v>18</v>
      </c>
    </row>
    <row r="18" spans="1:2" s="73" customFormat="1" ht="28.5">
      <c r="A18" s="561" t="s">
        <v>2353</v>
      </c>
      <c r="B18" s="72">
        <v>2</v>
      </c>
    </row>
    <row r="19" spans="1:2" s="73" customFormat="1">
      <c r="A19" s="561" t="s">
        <v>2364</v>
      </c>
      <c r="B19" s="72">
        <v>6</v>
      </c>
    </row>
    <row r="20" spans="1:2" s="73" customFormat="1" ht="33" customHeight="1">
      <c r="A20" s="562" t="s">
        <v>2378</v>
      </c>
      <c r="B20" s="72">
        <v>4</v>
      </c>
    </row>
    <row r="21" spans="1:2" s="73" customFormat="1" ht="28.5">
      <c r="A21" s="561" t="s">
        <v>2398</v>
      </c>
      <c r="B21" s="72">
        <v>4</v>
      </c>
    </row>
    <row r="22" spans="1:2" s="73" customFormat="1">
      <c r="A22" s="559" t="s">
        <v>66</v>
      </c>
      <c r="B22" s="72"/>
    </row>
    <row r="23" spans="1:2" s="73" customFormat="1" ht="35.25" customHeight="1">
      <c r="A23" s="97" t="s">
        <v>2294</v>
      </c>
      <c r="B23" s="72">
        <v>1</v>
      </c>
    </row>
    <row r="24" spans="1:2" s="73" customFormat="1" ht="35.25" customHeight="1">
      <c r="A24" s="97" t="s">
        <v>2292</v>
      </c>
      <c r="B24" s="72">
        <v>1</v>
      </c>
    </row>
    <row r="25" spans="1:2" s="73" customFormat="1" ht="28.5">
      <c r="A25" s="400" t="s">
        <v>2436</v>
      </c>
      <c r="B25" s="72">
        <v>1</v>
      </c>
    </row>
    <row r="26" spans="1:2" s="73" customFormat="1" ht="28.5">
      <c r="A26" s="97" t="s">
        <v>2309</v>
      </c>
      <c r="B26" s="72">
        <v>1</v>
      </c>
    </row>
    <row r="27" spans="1:2" s="73" customFormat="1" ht="15" customHeight="1">
      <c r="A27" s="84" t="s">
        <v>2328</v>
      </c>
      <c r="B27" s="72">
        <v>1</v>
      </c>
    </row>
    <row r="28" spans="1:2" s="73" customFormat="1" ht="15" customHeight="1">
      <c r="A28" s="84" t="s">
        <v>2365</v>
      </c>
      <c r="B28" s="72">
        <v>2</v>
      </c>
    </row>
    <row r="29" spans="1:2" s="73" customFormat="1">
      <c r="A29" s="560" t="s">
        <v>590</v>
      </c>
      <c r="B29" s="72"/>
    </row>
    <row r="30" spans="1:2" s="73" customFormat="1" ht="28.5">
      <c r="A30" s="552" t="s">
        <v>2293</v>
      </c>
      <c r="B30" s="72">
        <v>1</v>
      </c>
    </row>
    <row r="31" spans="1:2" s="73" customFormat="1" ht="28.5">
      <c r="A31" s="552" t="s">
        <v>2295</v>
      </c>
      <c r="B31" s="72">
        <v>6</v>
      </c>
    </row>
    <row r="32" spans="1:2" s="73" customFormat="1">
      <c r="A32" s="552" t="s">
        <v>2296</v>
      </c>
      <c r="B32" s="72">
        <v>2</v>
      </c>
    </row>
    <row r="33" spans="1:2" s="73" customFormat="1" ht="28.5">
      <c r="A33" s="552" t="s">
        <v>2297</v>
      </c>
      <c r="B33" s="72">
        <v>1</v>
      </c>
    </row>
    <row r="34" spans="1:2" s="73" customFormat="1">
      <c r="A34" s="552" t="s">
        <v>2301</v>
      </c>
      <c r="B34" s="72">
        <v>8</v>
      </c>
    </row>
    <row r="35" spans="1:2" s="73" customFormat="1" ht="28.5">
      <c r="A35" s="552" t="s">
        <v>2302</v>
      </c>
      <c r="B35" s="72">
        <v>2</v>
      </c>
    </row>
    <row r="36" spans="1:2" s="73" customFormat="1" ht="28.5">
      <c r="A36" s="400" t="s">
        <v>2054</v>
      </c>
      <c r="B36" s="72">
        <v>1</v>
      </c>
    </row>
    <row r="37" spans="1:2" s="73" customFormat="1">
      <c r="A37" s="552" t="s">
        <v>2303</v>
      </c>
      <c r="B37" s="72">
        <v>2</v>
      </c>
    </row>
    <row r="38" spans="1:2" s="73" customFormat="1">
      <c r="A38" s="552" t="s">
        <v>2304</v>
      </c>
      <c r="B38" s="72">
        <v>16</v>
      </c>
    </row>
    <row r="39" spans="1:2" s="73" customFormat="1" ht="28.5">
      <c r="A39" s="552" t="s">
        <v>2311</v>
      </c>
      <c r="B39" s="72">
        <v>9</v>
      </c>
    </row>
    <row r="40" spans="1:2" s="73" customFormat="1" ht="28.5">
      <c r="A40" s="552" t="s">
        <v>2312</v>
      </c>
      <c r="B40" s="72">
        <v>1</v>
      </c>
    </row>
    <row r="41" spans="1:2" s="73" customFormat="1">
      <c r="A41" s="552" t="s">
        <v>2313</v>
      </c>
      <c r="B41" s="72"/>
    </row>
    <row r="42" spans="1:2" s="73" customFormat="1">
      <c r="A42" s="552" t="s">
        <v>2314</v>
      </c>
      <c r="B42" s="72">
        <v>2</v>
      </c>
    </row>
    <row r="43" spans="1:2" s="73" customFormat="1">
      <c r="A43" s="552" t="s">
        <v>2315</v>
      </c>
      <c r="B43" s="72">
        <v>8</v>
      </c>
    </row>
    <row r="44" spans="1:2" s="73" customFormat="1" ht="28.5">
      <c r="A44" s="552" t="s">
        <v>2316</v>
      </c>
      <c r="B44" s="72">
        <v>1.5</v>
      </c>
    </row>
    <row r="45" spans="1:2" s="73" customFormat="1" ht="28.5">
      <c r="A45" s="400" t="s">
        <v>2794</v>
      </c>
      <c r="B45" s="72">
        <v>1</v>
      </c>
    </row>
    <row r="46" spans="1:2" s="73" customFormat="1">
      <c r="A46" s="552" t="s">
        <v>2321</v>
      </c>
      <c r="B46" s="72">
        <v>1</v>
      </c>
    </row>
    <row r="47" spans="1:2" s="73" customFormat="1">
      <c r="A47" s="552" t="s">
        <v>2322</v>
      </c>
      <c r="B47" s="72">
        <v>1</v>
      </c>
    </row>
    <row r="48" spans="1:2" s="73" customFormat="1">
      <c r="A48" s="552" t="s">
        <v>2323</v>
      </c>
      <c r="B48" s="72">
        <v>1</v>
      </c>
    </row>
    <row r="49" spans="1:2" s="73" customFormat="1">
      <c r="A49" s="553" t="s">
        <v>2324</v>
      </c>
      <c r="B49" s="72">
        <v>12</v>
      </c>
    </row>
    <row r="50" spans="1:2" s="73" customFormat="1" ht="28.5">
      <c r="A50" s="267" t="s">
        <v>2102</v>
      </c>
      <c r="B50" s="72">
        <v>1</v>
      </c>
    </row>
    <row r="51" spans="1:2" s="73" customFormat="1" ht="28.5">
      <c r="A51" s="400" t="s">
        <v>2329</v>
      </c>
      <c r="B51" s="72">
        <v>1</v>
      </c>
    </row>
    <row r="52" spans="1:2" s="73" customFormat="1" ht="28.5">
      <c r="A52" s="400" t="s">
        <v>2330</v>
      </c>
      <c r="B52" s="72">
        <v>1</v>
      </c>
    </row>
    <row r="53" spans="1:2" s="73" customFormat="1">
      <c r="A53" s="400" t="s">
        <v>2331</v>
      </c>
      <c r="B53" s="72">
        <v>2</v>
      </c>
    </row>
    <row r="54" spans="1:2" s="73" customFormat="1">
      <c r="A54" s="400" t="s">
        <v>2337</v>
      </c>
      <c r="B54" s="72">
        <v>4</v>
      </c>
    </row>
    <row r="55" spans="1:2" s="73" customFormat="1">
      <c r="A55" s="400" t="s">
        <v>2338</v>
      </c>
      <c r="B55" s="72">
        <v>2</v>
      </c>
    </row>
    <row r="56" spans="1:2" s="73" customFormat="1">
      <c r="A56" s="400" t="s">
        <v>2340</v>
      </c>
      <c r="B56" s="72">
        <v>4</v>
      </c>
    </row>
    <row r="57" spans="1:2" s="73" customFormat="1" ht="23.25" customHeight="1">
      <c r="A57" s="527" t="s">
        <v>2156</v>
      </c>
      <c r="B57" s="72">
        <v>1</v>
      </c>
    </row>
    <row r="58" spans="1:2" s="73" customFormat="1" ht="28.5">
      <c r="A58" s="400" t="s">
        <v>2342</v>
      </c>
      <c r="B58" s="72">
        <v>6</v>
      </c>
    </row>
    <row r="59" spans="1:2">
      <c r="A59" s="127" t="s">
        <v>2343</v>
      </c>
      <c r="B59" s="127">
        <v>6</v>
      </c>
    </row>
    <row r="60" spans="1:2" s="73" customFormat="1" ht="28.5">
      <c r="A60" s="400" t="s">
        <v>2344</v>
      </c>
      <c r="B60" s="72">
        <v>3</v>
      </c>
    </row>
    <row r="61" spans="1:2" s="73" customFormat="1" ht="28.5">
      <c r="A61" s="552" t="s">
        <v>2345</v>
      </c>
      <c r="B61" s="72">
        <v>1.5</v>
      </c>
    </row>
    <row r="62" spans="1:2" s="73" customFormat="1" ht="28.5">
      <c r="A62" s="141" t="s">
        <v>2354</v>
      </c>
      <c r="B62" s="72">
        <v>4</v>
      </c>
    </row>
    <row r="63" spans="1:2" s="73" customFormat="1" ht="28.5">
      <c r="A63" s="552" t="s">
        <v>2355</v>
      </c>
      <c r="B63" s="72">
        <v>1.5</v>
      </c>
    </row>
    <row r="64" spans="1:2" s="73" customFormat="1">
      <c r="A64" s="400" t="s">
        <v>2356</v>
      </c>
      <c r="B64" s="72">
        <v>1</v>
      </c>
    </row>
    <row r="65" spans="1:2" s="73" customFormat="1" ht="28.5">
      <c r="A65" s="400" t="s">
        <v>2366</v>
      </c>
      <c r="B65" s="72">
        <v>2</v>
      </c>
    </row>
    <row r="66" spans="1:2" s="73" customFormat="1" ht="28.5">
      <c r="A66" s="400" t="s">
        <v>2367</v>
      </c>
      <c r="B66" s="72">
        <v>2</v>
      </c>
    </row>
    <row r="67" spans="1:2" s="73" customFormat="1" ht="36" customHeight="1">
      <c r="A67" s="267" t="s">
        <v>2368</v>
      </c>
      <c r="B67" s="72">
        <v>4</v>
      </c>
    </row>
    <row r="68" spans="1:2" s="73" customFormat="1">
      <c r="A68" s="400" t="s">
        <v>2369</v>
      </c>
      <c r="B68" s="72">
        <v>2</v>
      </c>
    </row>
    <row r="69" spans="1:2" s="73" customFormat="1" ht="29.25" customHeight="1">
      <c r="A69" s="400" t="s">
        <v>2861</v>
      </c>
      <c r="B69" s="72">
        <v>1</v>
      </c>
    </row>
    <row r="70" spans="1:2" s="73" customFormat="1" ht="28.5">
      <c r="A70" s="400" t="s">
        <v>2370</v>
      </c>
      <c r="B70" s="72">
        <v>4</v>
      </c>
    </row>
    <row r="71" spans="1:2" s="73" customFormat="1">
      <c r="A71" s="400" t="s">
        <v>2371</v>
      </c>
      <c r="B71" s="72">
        <v>4</v>
      </c>
    </row>
    <row r="72" spans="1:2" s="73" customFormat="1" ht="28.5">
      <c r="A72" s="226" t="s">
        <v>2379</v>
      </c>
      <c r="B72" s="72">
        <v>1</v>
      </c>
    </row>
    <row r="73" spans="1:2" s="73" customFormat="1" ht="29.25" customHeight="1">
      <c r="A73" s="400" t="s">
        <v>2380</v>
      </c>
      <c r="B73" s="72">
        <v>2</v>
      </c>
    </row>
    <row r="74" spans="1:2" s="73" customFormat="1">
      <c r="A74" s="564" t="s">
        <v>2389</v>
      </c>
      <c r="B74" s="72">
        <v>1</v>
      </c>
    </row>
    <row r="75" spans="1:2" s="73" customFormat="1" ht="28.5">
      <c r="A75" s="564" t="s">
        <v>2391</v>
      </c>
      <c r="B75" s="72">
        <v>1</v>
      </c>
    </row>
    <row r="76" spans="1:2" s="73" customFormat="1">
      <c r="A76" s="564" t="s">
        <v>2390</v>
      </c>
      <c r="B76" s="72">
        <v>1</v>
      </c>
    </row>
    <row r="77" spans="1:2" s="73" customFormat="1">
      <c r="A77" s="548" t="s">
        <v>2243</v>
      </c>
      <c r="B77" s="72">
        <v>1</v>
      </c>
    </row>
    <row r="78" spans="1:2" s="73" customFormat="1" ht="28.5">
      <c r="A78" s="564" t="s">
        <v>2392</v>
      </c>
      <c r="B78" s="72">
        <v>1</v>
      </c>
    </row>
    <row r="79" spans="1:2" s="73" customFormat="1">
      <c r="A79" s="564" t="s">
        <v>2393</v>
      </c>
      <c r="B79" s="72">
        <v>3</v>
      </c>
    </row>
    <row r="80" spans="1:2" s="73" customFormat="1">
      <c r="A80" s="564" t="s">
        <v>2399</v>
      </c>
      <c r="B80" s="72">
        <v>2</v>
      </c>
    </row>
    <row r="81" spans="1:2" s="73" customFormat="1">
      <c r="A81" s="400" t="s">
        <v>2278</v>
      </c>
      <c r="B81" s="549">
        <v>0.5</v>
      </c>
    </row>
    <row r="82" spans="1:2" s="73" customFormat="1" ht="28.5">
      <c r="A82" s="564" t="s">
        <v>2400</v>
      </c>
      <c r="B82" s="72">
        <v>4</v>
      </c>
    </row>
    <row r="83" spans="1:2" s="73" customFormat="1" ht="28.5">
      <c r="A83" s="122" t="s">
        <v>2401</v>
      </c>
      <c r="B83" s="72">
        <v>4</v>
      </c>
    </row>
    <row r="84" spans="1:2" s="73" customFormat="1">
      <c r="A84" s="122" t="s">
        <v>2402</v>
      </c>
      <c r="B84" s="72">
        <v>4</v>
      </c>
    </row>
    <row r="85" spans="1:2" s="73" customFormat="1">
      <c r="A85" s="122" t="s">
        <v>2403</v>
      </c>
      <c r="B85" s="72">
        <v>1</v>
      </c>
    </row>
    <row r="86" spans="1:2" s="73" customFormat="1" ht="28.5">
      <c r="A86" s="122" t="s">
        <v>2404</v>
      </c>
      <c r="B86" s="72">
        <v>1.5</v>
      </c>
    </row>
    <row r="87" spans="1:2" s="73" customFormat="1" ht="28.5">
      <c r="A87" s="122" t="s">
        <v>2405</v>
      </c>
      <c r="B87" s="72">
        <v>4</v>
      </c>
    </row>
    <row r="88" spans="1:2" s="73" customFormat="1">
      <c r="A88" s="122" t="s">
        <v>2406</v>
      </c>
      <c r="B88" s="72">
        <v>1</v>
      </c>
    </row>
    <row r="89" spans="1:2" s="73" customFormat="1" ht="28.5">
      <c r="A89" s="122" t="s">
        <v>2407</v>
      </c>
      <c r="B89" s="72">
        <v>2</v>
      </c>
    </row>
    <row r="90" spans="1:2" s="73" customFormat="1">
      <c r="A90" s="552" t="s">
        <v>2408</v>
      </c>
      <c r="B90" s="72">
        <v>1</v>
      </c>
    </row>
    <row r="91" spans="1:2" s="73" customFormat="1">
      <c r="A91" s="552" t="s">
        <v>2409</v>
      </c>
      <c r="B91" s="72">
        <v>1</v>
      </c>
    </row>
    <row r="92" spans="1:2" s="73" customFormat="1">
      <c r="A92" s="122" t="s">
        <v>2410</v>
      </c>
      <c r="B92" s="72">
        <v>1</v>
      </c>
    </row>
    <row r="93" spans="1:2" s="73" customFormat="1" ht="15" customHeight="1">
      <c r="A93" s="560" t="s">
        <v>102</v>
      </c>
      <c r="B93" s="72"/>
    </row>
    <row r="94" spans="1:2" s="73" customFormat="1">
      <c r="A94" s="145" t="s">
        <v>2299</v>
      </c>
      <c r="B94" s="72">
        <v>1.5</v>
      </c>
    </row>
    <row r="95" spans="1:2" s="73" customFormat="1">
      <c r="A95" s="145" t="s">
        <v>2298</v>
      </c>
      <c r="B95" s="72">
        <v>0</v>
      </c>
    </row>
    <row r="96" spans="1:2" s="73" customFormat="1">
      <c r="A96" s="400" t="s">
        <v>2300</v>
      </c>
      <c r="B96" s="72">
        <v>1</v>
      </c>
    </row>
    <row r="97" spans="1:2" s="73" customFormat="1">
      <c r="A97" s="400" t="s">
        <v>2305</v>
      </c>
      <c r="B97" s="72">
        <v>1</v>
      </c>
    </row>
    <row r="98" spans="1:2" s="73" customFormat="1">
      <c r="A98" s="400" t="s">
        <v>2306</v>
      </c>
      <c r="B98" s="72">
        <v>1</v>
      </c>
    </row>
    <row r="99" spans="1:2" s="73" customFormat="1">
      <c r="A99" s="400" t="s">
        <v>2307</v>
      </c>
      <c r="B99" s="72">
        <v>1</v>
      </c>
    </row>
    <row r="100" spans="1:2" s="73" customFormat="1">
      <c r="A100" s="400" t="s">
        <v>2308</v>
      </c>
      <c r="B100" s="72">
        <v>1</v>
      </c>
    </row>
    <row r="101" spans="1:2" s="73" customFormat="1" ht="28.5">
      <c r="A101" s="552" t="s">
        <v>2310</v>
      </c>
      <c r="B101" s="72">
        <v>1</v>
      </c>
    </row>
    <row r="102" spans="1:2" s="73" customFormat="1">
      <c r="A102" s="400" t="s">
        <v>2317</v>
      </c>
      <c r="B102" s="72">
        <v>1</v>
      </c>
    </row>
    <row r="103" spans="1:2" s="73" customFormat="1">
      <c r="A103" s="400" t="s">
        <v>2318</v>
      </c>
      <c r="B103" s="72">
        <v>1</v>
      </c>
    </row>
    <row r="104" spans="1:2" s="73" customFormat="1">
      <c r="A104" s="400" t="s">
        <v>2319</v>
      </c>
      <c r="B104" s="72">
        <v>1</v>
      </c>
    </row>
    <row r="105" spans="1:2" s="73" customFormat="1">
      <c r="A105" s="400" t="s">
        <v>2320</v>
      </c>
      <c r="B105" s="72">
        <v>1</v>
      </c>
    </row>
    <row r="106" spans="1:2" s="73" customFormat="1">
      <c r="A106" s="400" t="s">
        <v>2325</v>
      </c>
      <c r="B106" s="72">
        <v>1</v>
      </c>
    </row>
    <row r="107" spans="1:2" s="73" customFormat="1">
      <c r="A107" s="400" t="s">
        <v>2326</v>
      </c>
      <c r="B107" s="72">
        <v>1</v>
      </c>
    </row>
    <row r="108" spans="1:2" s="73" customFormat="1" ht="28.5">
      <c r="A108" s="400" t="s">
        <v>2332</v>
      </c>
      <c r="B108" s="72">
        <v>2</v>
      </c>
    </row>
    <row r="109" spans="1:2" s="73" customFormat="1" ht="28.5">
      <c r="A109" s="400" t="s">
        <v>2333</v>
      </c>
      <c r="B109" s="72">
        <v>1.5</v>
      </c>
    </row>
    <row r="110" spans="1:2" s="73" customFormat="1" ht="28.5">
      <c r="A110" s="400" t="s">
        <v>2334</v>
      </c>
      <c r="B110" s="72">
        <v>1</v>
      </c>
    </row>
    <row r="111" spans="1:2" s="73" customFormat="1">
      <c r="A111" s="400" t="s">
        <v>2335</v>
      </c>
      <c r="B111" s="72">
        <v>1</v>
      </c>
    </row>
    <row r="112" spans="1:2" s="73" customFormat="1" ht="18" customHeight="1">
      <c r="A112" s="400" t="s">
        <v>2341</v>
      </c>
      <c r="B112" s="72">
        <v>1</v>
      </c>
    </row>
    <row r="113" spans="1:2" s="73" customFormat="1" ht="19.5" customHeight="1">
      <c r="A113" s="400" t="s">
        <v>2346</v>
      </c>
      <c r="B113" s="72">
        <v>1</v>
      </c>
    </row>
    <row r="114" spans="1:2" s="73" customFormat="1" ht="28.5">
      <c r="A114" s="400" t="s">
        <v>2347</v>
      </c>
      <c r="B114" s="72">
        <v>1</v>
      </c>
    </row>
    <row r="115" spans="1:2" s="73" customFormat="1">
      <c r="A115" s="400" t="s">
        <v>2348</v>
      </c>
      <c r="B115" s="72">
        <v>1</v>
      </c>
    </row>
    <row r="116" spans="1:2" s="73" customFormat="1">
      <c r="A116" s="400" t="s">
        <v>2349</v>
      </c>
      <c r="B116" s="72">
        <v>1</v>
      </c>
    </row>
    <row r="117" spans="1:2" s="73" customFormat="1" ht="28.5">
      <c r="A117" s="400" t="s">
        <v>2357</v>
      </c>
      <c r="B117" s="72">
        <v>1</v>
      </c>
    </row>
    <row r="118" spans="1:2" s="73" customFormat="1" ht="17.25" customHeight="1">
      <c r="A118" s="400" t="s">
        <v>2358</v>
      </c>
      <c r="B118" s="72">
        <v>1.5</v>
      </c>
    </row>
    <row r="119" spans="1:2" s="73" customFormat="1">
      <c r="A119" s="400" t="s">
        <v>2359</v>
      </c>
      <c r="B119" s="72">
        <v>1</v>
      </c>
    </row>
    <row r="120" spans="1:2" s="73" customFormat="1" ht="28.5">
      <c r="A120" s="400" t="s">
        <v>2360</v>
      </c>
      <c r="B120" s="72">
        <v>2</v>
      </c>
    </row>
    <row r="121" spans="1:2" s="73" customFormat="1">
      <c r="A121" s="400" t="s">
        <v>2361</v>
      </c>
      <c r="B121" s="72">
        <v>1</v>
      </c>
    </row>
    <row r="122" spans="1:2" s="73" customFormat="1">
      <c r="A122" s="400" t="s">
        <v>2362</v>
      </c>
      <c r="B122" s="72">
        <v>1</v>
      </c>
    </row>
    <row r="123" spans="1:2" s="73" customFormat="1" ht="28.5">
      <c r="A123" s="400" t="s">
        <v>2363</v>
      </c>
      <c r="B123" s="72">
        <v>1.5</v>
      </c>
    </row>
    <row r="124" spans="1:2" s="73" customFormat="1">
      <c r="A124" s="400" t="s">
        <v>2372</v>
      </c>
      <c r="B124" s="72">
        <v>0.5</v>
      </c>
    </row>
    <row r="125" spans="1:2" s="73" customFormat="1" ht="28.5">
      <c r="A125" s="400" t="s">
        <v>2373</v>
      </c>
      <c r="B125" s="72">
        <v>1</v>
      </c>
    </row>
    <row r="126" spans="1:2" s="73" customFormat="1">
      <c r="A126" s="400" t="s">
        <v>2374</v>
      </c>
      <c r="B126" s="72">
        <v>1</v>
      </c>
    </row>
    <row r="127" spans="1:2" s="73" customFormat="1" ht="18" customHeight="1">
      <c r="A127" s="400" t="s">
        <v>2375</v>
      </c>
      <c r="B127" s="72">
        <v>1</v>
      </c>
    </row>
    <row r="128" spans="1:2" s="73" customFormat="1">
      <c r="A128" s="400" t="s">
        <v>2376</v>
      </c>
      <c r="B128" s="72">
        <v>1</v>
      </c>
    </row>
    <row r="129" spans="1:2" s="73" customFormat="1">
      <c r="A129" s="400" t="s">
        <v>2377</v>
      </c>
      <c r="B129" s="72">
        <v>1</v>
      </c>
    </row>
    <row r="130" spans="1:2" s="73" customFormat="1" ht="28.5">
      <c r="A130" s="400" t="s">
        <v>2381</v>
      </c>
      <c r="B130" s="72">
        <v>1</v>
      </c>
    </row>
    <row r="131" spans="1:2" s="73" customFormat="1">
      <c r="A131" s="400" t="s">
        <v>2382</v>
      </c>
      <c r="B131" s="72">
        <v>1</v>
      </c>
    </row>
    <row r="132" spans="1:2" s="73" customFormat="1" ht="28.5">
      <c r="A132" s="400" t="s">
        <v>2383</v>
      </c>
      <c r="B132" s="72">
        <v>1</v>
      </c>
    </row>
    <row r="133" spans="1:2" s="73" customFormat="1">
      <c r="A133" s="400" t="s">
        <v>2384</v>
      </c>
      <c r="B133" s="72">
        <v>1</v>
      </c>
    </row>
    <row r="134" spans="1:2" s="73" customFormat="1">
      <c r="A134" s="400" t="s">
        <v>2385</v>
      </c>
      <c r="B134" s="72">
        <v>1</v>
      </c>
    </row>
    <row r="135" spans="1:2" s="73" customFormat="1" ht="18" customHeight="1">
      <c r="A135" s="400" t="s">
        <v>2386</v>
      </c>
      <c r="B135" s="72">
        <v>1</v>
      </c>
    </row>
    <row r="136" spans="1:2" s="73" customFormat="1" ht="18" customHeight="1">
      <c r="A136" s="400" t="s">
        <v>2387</v>
      </c>
      <c r="B136" s="72">
        <v>1</v>
      </c>
    </row>
    <row r="137" spans="1:2" s="73" customFormat="1" ht="28.5">
      <c r="A137" s="400" t="s">
        <v>2388</v>
      </c>
      <c r="B137" s="72">
        <v>1.5</v>
      </c>
    </row>
    <row r="138" spans="1:2" s="73" customFormat="1">
      <c r="A138" s="89" t="s">
        <v>2394</v>
      </c>
      <c r="B138" s="72">
        <v>1</v>
      </c>
    </row>
    <row r="139" spans="1:2" s="73" customFormat="1">
      <c r="A139" s="400" t="s">
        <v>2395</v>
      </c>
      <c r="B139" s="72">
        <v>1</v>
      </c>
    </row>
    <row r="140" spans="1:2" s="73" customFormat="1" ht="18" customHeight="1">
      <c r="A140" s="400" t="s">
        <v>2396</v>
      </c>
      <c r="B140" s="72">
        <v>1</v>
      </c>
    </row>
    <row r="141" spans="1:2" s="73" customFormat="1">
      <c r="A141" s="400" t="s">
        <v>2397</v>
      </c>
      <c r="B141" s="72">
        <v>1</v>
      </c>
    </row>
    <row r="142" spans="1:2" s="73" customFormat="1">
      <c r="A142" s="226" t="s">
        <v>2411</v>
      </c>
      <c r="B142" s="72">
        <v>1</v>
      </c>
    </row>
    <row r="143" spans="1:2" s="73" customFormat="1">
      <c r="A143" s="400" t="s">
        <v>2412</v>
      </c>
      <c r="B143" s="72">
        <v>1</v>
      </c>
    </row>
    <row r="144" spans="1:2" s="73" customFormat="1">
      <c r="A144" s="400" t="s">
        <v>2420</v>
      </c>
      <c r="B144" s="72">
        <v>1</v>
      </c>
    </row>
    <row r="145" spans="1:253" s="73" customFormat="1">
      <c r="A145" s="89" t="s">
        <v>2413</v>
      </c>
      <c r="B145" s="72">
        <v>1</v>
      </c>
    </row>
    <row r="146" spans="1:253" ht="15.75" thickBot="1">
      <c r="A146" s="223" t="s">
        <v>587</v>
      </c>
      <c r="B146" s="72">
        <f>SUM(B7:B145)</f>
        <v>301.5</v>
      </c>
    </row>
    <row r="147" spans="1:253">
      <c r="A147" s="175"/>
      <c r="B147" s="86"/>
    </row>
    <row r="148" spans="1:253">
      <c r="A148" s="760" t="s">
        <v>3818</v>
      </c>
      <c r="B148" s="760"/>
    </row>
    <row r="149" spans="1:253">
      <c r="A149" s="175"/>
      <c r="B149" s="86"/>
    </row>
    <row r="150" spans="1:253">
      <c r="A150" s="78"/>
      <c r="B150" s="75"/>
    </row>
    <row r="151" spans="1:253" s="179" customFormat="1" ht="43.5" customHeight="1">
      <c r="A151" s="555" t="s">
        <v>2415</v>
      </c>
      <c r="IS151"/>
    </row>
    <row r="152" spans="1:253">
      <c r="A152" s="217" t="s">
        <v>593</v>
      </c>
      <c r="B152" s="196">
        <v>2564.1999999999998</v>
      </c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9"/>
      <c r="CM152" s="179"/>
      <c r="CN152" s="179"/>
      <c r="CO152" s="179"/>
      <c r="CP152" s="179"/>
      <c r="CQ152" s="179"/>
      <c r="CR152" s="179"/>
      <c r="CS152" s="179"/>
      <c r="CT152" s="179"/>
      <c r="CU152" s="179"/>
      <c r="CV152" s="179"/>
      <c r="CW152" s="179"/>
      <c r="CX152" s="179"/>
      <c r="CY152" s="179"/>
      <c r="CZ152" s="179"/>
      <c r="DA152" s="179"/>
      <c r="DB152" s="179"/>
      <c r="DC152" s="179"/>
      <c r="DD152" s="179"/>
      <c r="DE152" s="179"/>
      <c r="DF152" s="179"/>
      <c r="DG152" s="179"/>
      <c r="DH152" s="179"/>
      <c r="DI152" s="179"/>
      <c r="DJ152" s="179"/>
      <c r="DK152" s="179"/>
      <c r="DL152" s="179"/>
      <c r="DM152" s="179"/>
      <c r="DN152" s="179"/>
      <c r="DO152" s="179"/>
      <c r="DP152" s="179"/>
      <c r="DQ152" s="179"/>
      <c r="DR152" s="179"/>
      <c r="DS152" s="179"/>
      <c r="DT152" s="179"/>
      <c r="DU152" s="179"/>
      <c r="DV152" s="179"/>
      <c r="DW152" s="179"/>
      <c r="DX152" s="179"/>
      <c r="DY152" s="179"/>
      <c r="DZ152" s="179"/>
      <c r="EA152" s="179"/>
      <c r="EB152" s="179"/>
      <c r="EC152" s="179"/>
      <c r="ED152" s="179"/>
      <c r="EE152" s="179"/>
      <c r="EF152" s="179"/>
      <c r="EG152" s="179"/>
      <c r="EH152" s="179"/>
      <c r="EI152" s="179"/>
      <c r="EJ152" s="179"/>
      <c r="EK152" s="179"/>
      <c r="EL152" s="179"/>
      <c r="EM152" s="179"/>
      <c r="EN152" s="179"/>
      <c r="EO152" s="179"/>
      <c r="EP152" s="179"/>
      <c r="EQ152" s="179"/>
      <c r="ER152" s="179"/>
      <c r="ES152" s="179"/>
      <c r="ET152" s="179"/>
      <c r="EU152" s="179"/>
      <c r="EV152" s="179"/>
      <c r="EW152" s="179"/>
      <c r="EX152" s="179"/>
      <c r="EY152" s="179"/>
      <c r="EZ152" s="179"/>
      <c r="FA152" s="179"/>
      <c r="FB152" s="179"/>
      <c r="FC152" s="179"/>
      <c r="FD152" s="179"/>
      <c r="FE152" s="179"/>
      <c r="FF152" s="179"/>
      <c r="FG152" s="179"/>
      <c r="FH152" s="179"/>
      <c r="FI152" s="179"/>
      <c r="FJ152" s="179"/>
      <c r="FK152" s="179"/>
      <c r="FL152" s="179"/>
      <c r="FM152" s="179"/>
      <c r="FN152" s="179"/>
      <c r="FO152" s="179"/>
      <c r="FP152" s="179"/>
      <c r="FQ152" s="179"/>
      <c r="FR152" s="179"/>
      <c r="FS152" s="179"/>
      <c r="FT152" s="179"/>
      <c r="FU152" s="179"/>
      <c r="FV152" s="179"/>
      <c r="FW152" s="179"/>
      <c r="FX152" s="179"/>
      <c r="FY152" s="179"/>
      <c r="FZ152" s="179"/>
      <c r="GA152" s="179"/>
      <c r="GB152" s="179"/>
      <c r="GC152" s="179"/>
      <c r="GD152" s="179"/>
      <c r="GE152" s="179"/>
      <c r="GF152" s="179"/>
      <c r="GG152" s="179"/>
      <c r="GH152" s="179"/>
      <c r="GI152" s="179"/>
      <c r="GJ152" s="179"/>
      <c r="GK152" s="179"/>
      <c r="GL152" s="179"/>
      <c r="GM152" s="179"/>
      <c r="GN152" s="179"/>
      <c r="GO152" s="179"/>
      <c r="GP152" s="179"/>
      <c r="GQ152" s="179"/>
      <c r="GR152" s="179"/>
      <c r="GS152" s="179"/>
      <c r="GT152" s="179"/>
      <c r="GU152" s="179"/>
      <c r="GV152" s="179"/>
      <c r="GW152" s="179"/>
      <c r="GX152" s="179"/>
      <c r="GY152" s="179"/>
      <c r="GZ152" s="179"/>
      <c r="HA152" s="179"/>
      <c r="HB152" s="179"/>
      <c r="HC152" s="179"/>
      <c r="HD152" s="179"/>
      <c r="HE152" s="179"/>
      <c r="HF152" s="179"/>
      <c r="HG152" s="179"/>
      <c r="HH152" s="179"/>
      <c r="HI152" s="179"/>
      <c r="HJ152" s="179"/>
      <c r="HK152" s="179"/>
      <c r="HL152" s="179"/>
      <c r="HM152" s="179"/>
      <c r="HN152" s="179"/>
      <c r="HO152" s="179"/>
      <c r="HP152" s="179"/>
      <c r="HQ152" s="179"/>
      <c r="HR152" s="179"/>
      <c r="HS152" s="179"/>
      <c r="HT152" s="179"/>
      <c r="HU152" s="179"/>
      <c r="HV152" s="179"/>
      <c r="HW152" s="179"/>
      <c r="HX152" s="179"/>
      <c r="HY152" s="179"/>
      <c r="HZ152" s="179"/>
      <c r="IA152" s="179"/>
      <c r="IB152" s="179"/>
      <c r="IC152" s="179"/>
      <c r="ID152" s="179"/>
      <c r="IE152" s="179"/>
      <c r="IF152" s="179"/>
      <c r="IG152" s="179"/>
      <c r="IH152" s="179"/>
      <c r="II152" s="179"/>
      <c r="IJ152" s="179"/>
      <c r="IK152" s="179"/>
      <c r="IL152" s="179"/>
      <c r="IM152" s="179"/>
      <c r="IN152" s="179"/>
      <c r="IO152" s="179"/>
      <c r="IP152" s="179"/>
      <c r="IQ152" s="179"/>
      <c r="IR152" s="179"/>
    </row>
    <row r="153" spans="1:253">
      <c r="A153" s="217" t="s">
        <v>594</v>
      </c>
      <c r="B153" s="196">
        <v>19.16</v>
      </c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9"/>
      <c r="CM153" s="179"/>
      <c r="CN153" s="179"/>
      <c r="CO153" s="179"/>
      <c r="CP153" s="179"/>
      <c r="CQ153" s="179"/>
      <c r="CR153" s="179"/>
      <c r="CS153" s="179"/>
      <c r="CT153" s="179"/>
      <c r="CU153" s="179"/>
      <c r="CV153" s="179"/>
      <c r="CW153" s="179"/>
      <c r="CX153" s="179"/>
      <c r="CY153" s="179"/>
      <c r="CZ153" s="179"/>
      <c r="DA153" s="179"/>
      <c r="DB153" s="179"/>
      <c r="DC153" s="179"/>
      <c r="DD153" s="179"/>
      <c r="DE153" s="179"/>
      <c r="DF153" s="179"/>
      <c r="DG153" s="179"/>
      <c r="DH153" s="179"/>
      <c r="DI153" s="179"/>
      <c r="DJ153" s="179"/>
      <c r="DK153" s="179"/>
      <c r="DL153" s="179"/>
      <c r="DM153" s="179"/>
      <c r="DN153" s="179"/>
      <c r="DO153" s="179"/>
      <c r="DP153" s="179"/>
      <c r="DQ153" s="179"/>
      <c r="DR153" s="179"/>
      <c r="DS153" s="179"/>
      <c r="DT153" s="179"/>
      <c r="DU153" s="179"/>
      <c r="DV153" s="179"/>
      <c r="DW153" s="179"/>
      <c r="DX153" s="179"/>
      <c r="DY153" s="179"/>
      <c r="DZ153" s="179"/>
      <c r="EA153" s="179"/>
      <c r="EB153" s="179"/>
      <c r="EC153" s="179"/>
      <c r="ED153" s="179"/>
      <c r="EE153" s="179"/>
      <c r="EF153" s="179"/>
      <c r="EG153" s="179"/>
      <c r="EH153" s="179"/>
      <c r="EI153" s="179"/>
      <c r="EJ153" s="179"/>
      <c r="EK153" s="179"/>
      <c r="EL153" s="179"/>
      <c r="EM153" s="179"/>
      <c r="EN153" s="179"/>
      <c r="EO153" s="179"/>
      <c r="EP153" s="179"/>
      <c r="EQ153" s="179"/>
      <c r="ER153" s="179"/>
      <c r="ES153" s="179"/>
      <c r="ET153" s="179"/>
      <c r="EU153" s="179"/>
      <c r="EV153" s="179"/>
      <c r="EW153" s="179"/>
      <c r="EX153" s="179"/>
      <c r="EY153" s="179"/>
      <c r="EZ153" s="179"/>
      <c r="FA153" s="179"/>
      <c r="FB153" s="179"/>
      <c r="FC153" s="179"/>
      <c r="FD153" s="179"/>
      <c r="FE153" s="179"/>
      <c r="FF153" s="179"/>
      <c r="FG153" s="179"/>
      <c r="FH153" s="179"/>
      <c r="FI153" s="179"/>
      <c r="FJ153" s="179"/>
      <c r="FK153" s="179"/>
      <c r="FL153" s="179"/>
      <c r="FM153" s="179"/>
      <c r="FN153" s="179"/>
      <c r="FO153" s="179"/>
      <c r="FP153" s="179"/>
      <c r="FQ153" s="179"/>
      <c r="FR153" s="179"/>
      <c r="FS153" s="179"/>
      <c r="FT153" s="179"/>
      <c r="FU153" s="179"/>
      <c r="FV153" s="179"/>
      <c r="FW153" s="179"/>
      <c r="FX153" s="179"/>
      <c r="FY153" s="179"/>
      <c r="FZ153" s="179"/>
      <c r="GA153" s="179"/>
      <c r="GB153" s="179"/>
      <c r="GC153" s="179"/>
      <c r="GD153" s="179"/>
      <c r="GE153" s="179"/>
      <c r="GF153" s="179"/>
      <c r="GG153" s="179"/>
      <c r="GH153" s="179"/>
      <c r="GI153" s="179"/>
      <c r="GJ153" s="179"/>
      <c r="GK153" s="179"/>
      <c r="GL153" s="179"/>
      <c r="GM153" s="179"/>
      <c r="GN153" s="179"/>
      <c r="GO153" s="179"/>
      <c r="GP153" s="179"/>
      <c r="GQ153" s="179"/>
      <c r="GR153" s="179"/>
      <c r="GS153" s="179"/>
      <c r="GT153" s="179"/>
      <c r="GU153" s="179"/>
      <c r="GV153" s="179"/>
      <c r="GW153" s="179"/>
      <c r="GX153" s="179"/>
      <c r="GY153" s="179"/>
      <c r="GZ153" s="179"/>
      <c r="HA153" s="179"/>
      <c r="HB153" s="179"/>
      <c r="HC153" s="179"/>
      <c r="HD153" s="179"/>
      <c r="HE153" s="179"/>
      <c r="HF153" s="179"/>
      <c r="HG153" s="179"/>
      <c r="HH153" s="179"/>
      <c r="HI153" s="179"/>
      <c r="HJ153" s="179"/>
      <c r="HK153" s="179"/>
      <c r="HL153" s="179"/>
      <c r="HM153" s="179"/>
      <c r="HN153" s="179"/>
      <c r="HO153" s="179"/>
      <c r="HP153" s="179"/>
      <c r="HQ153" s="179"/>
      <c r="HR153" s="179"/>
      <c r="HS153" s="179"/>
      <c r="HT153" s="179"/>
      <c r="HU153" s="179"/>
      <c r="HV153" s="179"/>
      <c r="HW153" s="179"/>
      <c r="HX153" s="179"/>
      <c r="HY153" s="179"/>
      <c r="HZ153" s="179"/>
      <c r="IA153" s="179"/>
      <c r="IB153" s="179"/>
      <c r="IC153" s="179"/>
      <c r="ID153" s="179"/>
      <c r="IE153" s="179"/>
      <c r="IF153" s="179"/>
      <c r="IG153" s="179"/>
      <c r="IH153" s="179"/>
      <c r="II153" s="179"/>
      <c r="IJ153" s="179"/>
      <c r="IK153" s="179"/>
      <c r="IL153" s="179"/>
      <c r="IM153" s="179"/>
      <c r="IN153" s="179"/>
      <c r="IO153" s="179"/>
      <c r="IP153" s="179"/>
      <c r="IQ153" s="179"/>
      <c r="IR153" s="179"/>
    </row>
    <row r="154" spans="1:253">
      <c r="A154" s="218" t="s">
        <v>711</v>
      </c>
      <c r="B154" s="193">
        <v>93633.94</v>
      </c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79"/>
      <c r="CM154" s="179"/>
      <c r="CN154" s="179"/>
      <c r="CO154" s="179"/>
      <c r="CP154" s="179"/>
      <c r="CQ154" s="179"/>
      <c r="CR154" s="179"/>
      <c r="CS154" s="179"/>
      <c r="CT154" s="179"/>
      <c r="CU154" s="179"/>
      <c r="CV154" s="179"/>
      <c r="CW154" s="179"/>
      <c r="CX154" s="179"/>
      <c r="CY154" s="179"/>
      <c r="CZ154" s="179"/>
      <c r="DA154" s="179"/>
      <c r="DB154" s="179"/>
      <c r="DC154" s="179"/>
      <c r="DD154" s="179"/>
      <c r="DE154" s="179"/>
      <c r="DF154" s="179"/>
      <c r="DG154" s="179"/>
      <c r="DH154" s="179"/>
      <c r="DI154" s="179"/>
      <c r="DJ154" s="179"/>
      <c r="DK154" s="179"/>
      <c r="DL154" s="179"/>
      <c r="DM154" s="179"/>
      <c r="DN154" s="179"/>
      <c r="DO154" s="179"/>
      <c r="DP154" s="179"/>
      <c r="DQ154" s="179"/>
      <c r="DR154" s="179"/>
      <c r="DS154" s="179"/>
      <c r="DT154" s="179"/>
      <c r="DU154" s="179"/>
      <c r="DV154" s="179"/>
      <c r="DW154" s="179"/>
      <c r="DX154" s="179"/>
      <c r="DY154" s="179"/>
      <c r="DZ154" s="179"/>
      <c r="EA154" s="179"/>
      <c r="EB154" s="179"/>
      <c r="EC154" s="179"/>
      <c r="ED154" s="179"/>
      <c r="EE154" s="179"/>
      <c r="EF154" s="179"/>
      <c r="EG154" s="179"/>
      <c r="EH154" s="179"/>
      <c r="EI154" s="179"/>
      <c r="EJ154" s="179"/>
      <c r="EK154" s="179"/>
      <c r="EL154" s="179"/>
      <c r="EM154" s="179"/>
      <c r="EN154" s="179"/>
      <c r="EO154" s="179"/>
      <c r="EP154" s="179"/>
      <c r="EQ154" s="179"/>
      <c r="ER154" s="179"/>
      <c r="ES154" s="179"/>
      <c r="ET154" s="179"/>
      <c r="EU154" s="179"/>
      <c r="EV154" s="179"/>
      <c r="EW154" s="179"/>
      <c r="EX154" s="179"/>
      <c r="EY154" s="179"/>
      <c r="EZ154" s="179"/>
      <c r="FA154" s="179"/>
      <c r="FB154" s="179"/>
      <c r="FC154" s="179"/>
      <c r="FD154" s="179"/>
      <c r="FE154" s="179"/>
      <c r="FF154" s="179"/>
      <c r="FG154" s="179"/>
      <c r="FH154" s="179"/>
      <c r="FI154" s="179"/>
      <c r="FJ154" s="179"/>
      <c r="FK154" s="179"/>
      <c r="FL154" s="179"/>
      <c r="FM154" s="179"/>
      <c r="FN154" s="179"/>
      <c r="FO154" s="179"/>
      <c r="FP154" s="179"/>
      <c r="FQ154" s="179"/>
      <c r="FR154" s="179"/>
      <c r="FS154" s="179"/>
      <c r="FT154" s="179"/>
      <c r="FU154" s="179"/>
      <c r="FV154" s="179"/>
      <c r="FW154" s="179"/>
      <c r="FX154" s="179"/>
      <c r="FY154" s="179"/>
      <c r="FZ154" s="179"/>
      <c r="GA154" s="179"/>
      <c r="GB154" s="179"/>
      <c r="GC154" s="179"/>
      <c r="GD154" s="179"/>
      <c r="GE154" s="179"/>
      <c r="GF154" s="179"/>
      <c r="GG154" s="179"/>
      <c r="GH154" s="179"/>
      <c r="GI154" s="179"/>
      <c r="GJ154" s="179"/>
      <c r="GK154" s="179"/>
      <c r="GL154" s="179"/>
      <c r="GM154" s="179"/>
      <c r="GN154" s="179"/>
      <c r="GO154" s="179"/>
      <c r="GP154" s="179"/>
      <c r="GQ154" s="179"/>
      <c r="GR154" s="179"/>
      <c r="GS154" s="179"/>
      <c r="GT154" s="179"/>
      <c r="GU154" s="179"/>
      <c r="GV154" s="179"/>
      <c r="GW154" s="179"/>
      <c r="GX154" s="179"/>
      <c r="GY154" s="179"/>
      <c r="GZ154" s="179"/>
      <c r="HA154" s="179"/>
      <c r="HB154" s="179"/>
      <c r="HC154" s="179"/>
      <c r="HD154" s="179"/>
      <c r="HE154" s="179"/>
      <c r="HF154" s="179"/>
      <c r="HG154" s="179"/>
      <c r="HH154" s="179"/>
      <c r="HI154" s="179"/>
      <c r="HJ154" s="179"/>
      <c r="HK154" s="179"/>
      <c r="HL154" s="179"/>
      <c r="HM154" s="179"/>
      <c r="HN154" s="179"/>
      <c r="HO154" s="179"/>
      <c r="HP154" s="179"/>
      <c r="HQ154" s="179"/>
      <c r="HR154" s="179"/>
      <c r="HS154" s="179"/>
      <c r="HT154" s="179"/>
      <c r="HU154" s="179"/>
      <c r="HV154" s="179"/>
      <c r="HW154" s="179"/>
      <c r="HX154" s="179"/>
      <c r="HY154" s="179"/>
      <c r="HZ154" s="179"/>
      <c r="IA154" s="179"/>
      <c r="IB154" s="179"/>
      <c r="IC154" s="179"/>
      <c r="ID154" s="179"/>
      <c r="IE154" s="179"/>
      <c r="IF154" s="179"/>
      <c r="IG154" s="179"/>
      <c r="IH154" s="179"/>
      <c r="II154" s="179"/>
      <c r="IJ154" s="179"/>
      <c r="IK154" s="179"/>
      <c r="IL154" s="179"/>
      <c r="IM154" s="179"/>
      <c r="IN154" s="179"/>
      <c r="IO154" s="179"/>
      <c r="IP154" s="179"/>
      <c r="IQ154" s="179"/>
      <c r="IR154" s="179"/>
    </row>
    <row r="155" spans="1:253">
      <c r="A155" s="218" t="s">
        <v>1123</v>
      </c>
      <c r="B155" s="193">
        <v>565021.6</v>
      </c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79"/>
      <c r="CM155" s="179"/>
      <c r="CN155" s="179"/>
      <c r="CO155" s="179"/>
      <c r="CP155" s="179"/>
      <c r="CQ155" s="179"/>
      <c r="CR155" s="179"/>
      <c r="CS155" s="179"/>
      <c r="CT155" s="179"/>
      <c r="CU155" s="179"/>
      <c r="CV155" s="179"/>
      <c r="CW155" s="179"/>
      <c r="CX155" s="179"/>
      <c r="CY155" s="179"/>
      <c r="CZ155" s="179"/>
      <c r="DA155" s="179"/>
      <c r="DB155" s="179"/>
      <c r="DC155" s="179"/>
      <c r="DD155" s="179"/>
      <c r="DE155" s="179"/>
      <c r="DF155" s="179"/>
      <c r="DG155" s="179"/>
      <c r="DH155" s="179"/>
      <c r="DI155" s="179"/>
      <c r="DJ155" s="179"/>
      <c r="DK155" s="179"/>
      <c r="DL155" s="179"/>
      <c r="DM155" s="179"/>
      <c r="DN155" s="179"/>
      <c r="DO155" s="179"/>
      <c r="DP155" s="179"/>
      <c r="DQ155" s="179"/>
      <c r="DR155" s="179"/>
      <c r="DS155" s="179"/>
      <c r="DT155" s="179"/>
      <c r="DU155" s="179"/>
      <c r="DV155" s="179"/>
      <c r="DW155" s="179"/>
      <c r="DX155" s="179"/>
      <c r="DY155" s="179"/>
      <c r="DZ155" s="179"/>
      <c r="EA155" s="179"/>
      <c r="EB155" s="179"/>
      <c r="EC155" s="179"/>
      <c r="ED155" s="179"/>
      <c r="EE155" s="179"/>
      <c r="EF155" s="179"/>
      <c r="EG155" s="179"/>
      <c r="EH155" s="179"/>
      <c r="EI155" s="179"/>
      <c r="EJ155" s="179"/>
      <c r="EK155" s="179"/>
      <c r="EL155" s="179"/>
      <c r="EM155" s="179"/>
      <c r="EN155" s="179"/>
      <c r="EO155" s="179"/>
      <c r="EP155" s="179"/>
      <c r="EQ155" s="179"/>
      <c r="ER155" s="179"/>
      <c r="ES155" s="179"/>
      <c r="ET155" s="179"/>
      <c r="EU155" s="179"/>
      <c r="EV155" s="179"/>
      <c r="EW155" s="179"/>
      <c r="EX155" s="179"/>
      <c r="EY155" s="179"/>
      <c r="EZ155" s="179"/>
      <c r="FA155" s="179"/>
      <c r="FB155" s="179"/>
      <c r="FC155" s="179"/>
      <c r="FD155" s="179"/>
      <c r="FE155" s="179"/>
      <c r="FF155" s="179"/>
      <c r="FG155" s="179"/>
      <c r="FH155" s="179"/>
      <c r="FI155" s="179"/>
      <c r="FJ155" s="179"/>
      <c r="FK155" s="179"/>
      <c r="FL155" s="179"/>
      <c r="FM155" s="179"/>
      <c r="FN155" s="179"/>
      <c r="FO155" s="179"/>
      <c r="FP155" s="179"/>
      <c r="FQ155" s="179"/>
      <c r="FR155" s="179"/>
      <c r="FS155" s="179"/>
      <c r="FT155" s="179"/>
      <c r="FU155" s="179"/>
      <c r="FV155" s="179"/>
      <c r="FW155" s="179"/>
      <c r="FX155" s="179"/>
      <c r="FY155" s="179"/>
      <c r="FZ155" s="179"/>
      <c r="GA155" s="179"/>
      <c r="GB155" s="179"/>
      <c r="GC155" s="179"/>
      <c r="GD155" s="179"/>
      <c r="GE155" s="179"/>
      <c r="GF155" s="179"/>
      <c r="GG155" s="179"/>
      <c r="GH155" s="179"/>
      <c r="GI155" s="179"/>
      <c r="GJ155" s="179"/>
      <c r="GK155" s="179"/>
      <c r="GL155" s="179"/>
      <c r="GM155" s="179"/>
      <c r="GN155" s="179"/>
      <c r="GO155" s="179"/>
      <c r="GP155" s="179"/>
      <c r="GQ155" s="179"/>
      <c r="GR155" s="179"/>
      <c r="GS155" s="179"/>
      <c r="GT155" s="179"/>
      <c r="GU155" s="179"/>
      <c r="GV155" s="179"/>
      <c r="GW155" s="179"/>
      <c r="GX155" s="179"/>
      <c r="GY155" s="179"/>
      <c r="GZ155" s="179"/>
      <c r="HA155" s="179"/>
      <c r="HB155" s="179"/>
      <c r="HC155" s="179"/>
      <c r="HD155" s="179"/>
      <c r="HE155" s="179"/>
      <c r="HF155" s="179"/>
      <c r="HG155" s="179"/>
      <c r="HH155" s="179"/>
      <c r="HI155" s="179"/>
      <c r="HJ155" s="179"/>
      <c r="HK155" s="179"/>
      <c r="HL155" s="179"/>
      <c r="HM155" s="179"/>
      <c r="HN155" s="179"/>
      <c r="HO155" s="179"/>
      <c r="HP155" s="179"/>
      <c r="HQ155" s="179"/>
      <c r="HR155" s="179"/>
      <c r="HS155" s="179"/>
      <c r="HT155" s="179"/>
      <c r="HU155" s="179"/>
      <c r="HV155" s="179"/>
      <c r="HW155" s="179"/>
      <c r="HX155" s="179"/>
      <c r="HY155" s="179"/>
      <c r="HZ155" s="179"/>
      <c r="IA155" s="179"/>
      <c r="IB155" s="179"/>
      <c r="IC155" s="179"/>
      <c r="ID155" s="179"/>
      <c r="IE155" s="179"/>
      <c r="IF155" s="179"/>
      <c r="IG155" s="179"/>
      <c r="IH155" s="179"/>
      <c r="II155" s="179"/>
      <c r="IJ155" s="179"/>
      <c r="IK155" s="179"/>
      <c r="IL155" s="179"/>
      <c r="IM155" s="179"/>
      <c r="IN155" s="179"/>
      <c r="IO155" s="179"/>
      <c r="IP155" s="179"/>
      <c r="IQ155" s="179"/>
      <c r="IR155" s="179"/>
    </row>
    <row r="156" spans="1:253">
      <c r="A156" s="218" t="s">
        <v>1602</v>
      </c>
      <c r="B156" s="193">
        <f>3839.4+15251.06</f>
        <v>19090.46</v>
      </c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/>
      <c r="CG156" s="179"/>
      <c r="CH156" s="179"/>
      <c r="CI156" s="179"/>
      <c r="CJ156" s="179"/>
      <c r="CK156" s="179"/>
      <c r="CL156" s="179"/>
      <c r="CM156" s="179"/>
      <c r="CN156" s="179"/>
      <c r="CO156" s="179"/>
      <c r="CP156" s="179"/>
      <c r="CQ156" s="179"/>
      <c r="CR156" s="179"/>
      <c r="CS156" s="179"/>
      <c r="CT156" s="179"/>
      <c r="CU156" s="179"/>
      <c r="CV156" s="179"/>
      <c r="CW156" s="179"/>
      <c r="CX156" s="179"/>
      <c r="CY156" s="179"/>
      <c r="CZ156" s="179"/>
      <c r="DA156" s="179"/>
      <c r="DB156" s="179"/>
      <c r="DC156" s="179"/>
      <c r="DD156" s="179"/>
      <c r="DE156" s="179"/>
      <c r="DF156" s="179"/>
      <c r="DG156" s="179"/>
      <c r="DH156" s="179"/>
      <c r="DI156" s="179"/>
      <c r="DJ156" s="179"/>
      <c r="DK156" s="179"/>
      <c r="DL156" s="179"/>
      <c r="DM156" s="179"/>
      <c r="DN156" s="179"/>
      <c r="DO156" s="179"/>
      <c r="DP156" s="179"/>
      <c r="DQ156" s="179"/>
      <c r="DR156" s="179"/>
      <c r="DS156" s="179"/>
      <c r="DT156" s="179"/>
      <c r="DU156" s="179"/>
      <c r="DV156" s="179"/>
      <c r="DW156" s="179"/>
      <c r="DX156" s="179"/>
      <c r="DY156" s="179"/>
      <c r="DZ156" s="179"/>
      <c r="EA156" s="179"/>
      <c r="EB156" s="179"/>
      <c r="EC156" s="179"/>
      <c r="ED156" s="179"/>
      <c r="EE156" s="179"/>
      <c r="EF156" s="179"/>
      <c r="EG156" s="179"/>
      <c r="EH156" s="179"/>
      <c r="EI156" s="179"/>
      <c r="EJ156" s="179"/>
      <c r="EK156" s="179"/>
      <c r="EL156" s="179"/>
      <c r="EM156" s="179"/>
      <c r="EN156" s="179"/>
      <c r="EO156" s="179"/>
      <c r="EP156" s="179"/>
      <c r="EQ156" s="179"/>
      <c r="ER156" s="179"/>
      <c r="ES156" s="179"/>
      <c r="ET156" s="179"/>
      <c r="EU156" s="179"/>
      <c r="EV156" s="179"/>
      <c r="EW156" s="179"/>
      <c r="EX156" s="179"/>
      <c r="EY156" s="179"/>
      <c r="EZ156" s="179"/>
      <c r="FA156" s="179"/>
      <c r="FB156" s="179"/>
      <c r="FC156" s="179"/>
      <c r="FD156" s="179"/>
      <c r="FE156" s="179"/>
      <c r="FF156" s="179"/>
      <c r="FG156" s="179"/>
      <c r="FH156" s="179"/>
      <c r="FI156" s="179"/>
      <c r="FJ156" s="179"/>
      <c r="FK156" s="179"/>
      <c r="FL156" s="179"/>
      <c r="FM156" s="179"/>
      <c r="FN156" s="179"/>
      <c r="FO156" s="179"/>
      <c r="FP156" s="179"/>
      <c r="FQ156" s="179"/>
      <c r="FR156" s="179"/>
      <c r="FS156" s="179"/>
      <c r="FT156" s="179"/>
      <c r="FU156" s="179"/>
      <c r="FV156" s="179"/>
      <c r="FW156" s="179"/>
      <c r="FX156" s="179"/>
      <c r="FY156" s="179"/>
      <c r="FZ156" s="179"/>
      <c r="GA156" s="179"/>
      <c r="GB156" s="179"/>
      <c r="GC156" s="179"/>
      <c r="GD156" s="179"/>
      <c r="GE156" s="179"/>
      <c r="GF156" s="179"/>
      <c r="GG156" s="179"/>
      <c r="GH156" s="179"/>
      <c r="GI156" s="179"/>
      <c r="GJ156" s="179"/>
      <c r="GK156" s="179"/>
      <c r="GL156" s="179"/>
      <c r="GM156" s="179"/>
      <c r="GN156" s="179"/>
      <c r="GO156" s="179"/>
      <c r="GP156" s="179"/>
      <c r="GQ156" s="179"/>
      <c r="GR156" s="179"/>
      <c r="GS156" s="179"/>
      <c r="GT156" s="179"/>
      <c r="GU156" s="179"/>
      <c r="GV156" s="179"/>
      <c r="GW156" s="179"/>
      <c r="GX156" s="179"/>
      <c r="GY156" s="179"/>
      <c r="GZ156" s="179"/>
      <c r="HA156" s="179"/>
      <c r="HB156" s="179"/>
      <c r="HC156" s="179"/>
      <c r="HD156" s="179"/>
      <c r="HE156" s="179"/>
      <c r="HF156" s="179"/>
      <c r="HG156" s="179"/>
      <c r="HH156" s="179"/>
      <c r="HI156" s="179"/>
      <c r="HJ156" s="179"/>
      <c r="HK156" s="179"/>
      <c r="HL156" s="179"/>
      <c r="HM156" s="179"/>
      <c r="HN156" s="179"/>
      <c r="HO156" s="179"/>
      <c r="HP156" s="179"/>
      <c r="HQ156" s="179"/>
      <c r="HR156" s="179"/>
      <c r="HS156" s="179"/>
      <c r="HT156" s="179"/>
      <c r="HU156" s="179"/>
      <c r="HV156" s="179"/>
      <c r="HW156" s="179"/>
      <c r="HX156" s="179"/>
      <c r="HY156" s="179"/>
      <c r="HZ156" s="179"/>
      <c r="IA156" s="179"/>
      <c r="IB156" s="179"/>
      <c r="IC156" s="179"/>
      <c r="ID156" s="179"/>
      <c r="IE156" s="179"/>
      <c r="IF156" s="179"/>
      <c r="IG156" s="179"/>
      <c r="IH156" s="179"/>
      <c r="II156" s="179"/>
      <c r="IJ156" s="179"/>
      <c r="IK156" s="179"/>
      <c r="IL156" s="179"/>
      <c r="IM156" s="179"/>
      <c r="IN156" s="179"/>
      <c r="IO156" s="179"/>
      <c r="IP156" s="179"/>
      <c r="IQ156" s="179"/>
      <c r="IR156" s="179"/>
    </row>
    <row r="157" spans="1:253">
      <c r="A157" s="218" t="s">
        <v>1598</v>
      </c>
      <c r="B157" s="193">
        <f>B154+B155+B156-B158</f>
        <v>530532.13</v>
      </c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79"/>
      <c r="BN157" s="179"/>
      <c r="BO157" s="179"/>
      <c r="BP157" s="179"/>
      <c r="BQ157" s="179"/>
      <c r="BR157" s="179"/>
      <c r="BS157" s="179"/>
      <c r="BT157" s="179"/>
      <c r="BU157" s="179"/>
      <c r="BV157" s="179"/>
      <c r="BW157" s="179"/>
      <c r="BX157" s="179"/>
      <c r="BY157" s="179"/>
      <c r="BZ157" s="179"/>
      <c r="CA157" s="179"/>
      <c r="CB157" s="179"/>
      <c r="CC157" s="179"/>
      <c r="CD157" s="179"/>
      <c r="CE157" s="179"/>
      <c r="CF157" s="179"/>
      <c r="CG157" s="179"/>
      <c r="CH157" s="179"/>
      <c r="CI157" s="179"/>
      <c r="CJ157" s="179"/>
      <c r="CK157" s="179"/>
      <c r="CL157" s="179"/>
      <c r="CM157" s="179"/>
      <c r="CN157" s="179"/>
      <c r="CO157" s="179"/>
      <c r="CP157" s="179"/>
      <c r="CQ157" s="179"/>
      <c r="CR157" s="179"/>
      <c r="CS157" s="179"/>
      <c r="CT157" s="179"/>
      <c r="CU157" s="179"/>
      <c r="CV157" s="179"/>
      <c r="CW157" s="179"/>
      <c r="CX157" s="179"/>
      <c r="CY157" s="179"/>
      <c r="CZ157" s="179"/>
      <c r="DA157" s="179"/>
      <c r="DB157" s="179"/>
      <c r="DC157" s="179"/>
      <c r="DD157" s="179"/>
      <c r="DE157" s="179"/>
      <c r="DF157" s="179"/>
      <c r="DG157" s="179"/>
      <c r="DH157" s="179"/>
      <c r="DI157" s="179"/>
      <c r="DJ157" s="179"/>
      <c r="DK157" s="179"/>
      <c r="DL157" s="179"/>
      <c r="DM157" s="179"/>
      <c r="DN157" s="179"/>
      <c r="DO157" s="179"/>
      <c r="DP157" s="179"/>
      <c r="DQ157" s="179"/>
      <c r="DR157" s="179"/>
      <c r="DS157" s="179"/>
      <c r="DT157" s="179"/>
      <c r="DU157" s="179"/>
      <c r="DV157" s="179"/>
      <c r="DW157" s="179"/>
      <c r="DX157" s="179"/>
      <c r="DY157" s="179"/>
      <c r="DZ157" s="179"/>
      <c r="EA157" s="179"/>
      <c r="EB157" s="179"/>
      <c r="EC157" s="179"/>
      <c r="ED157" s="179"/>
      <c r="EE157" s="179"/>
      <c r="EF157" s="179"/>
      <c r="EG157" s="179"/>
      <c r="EH157" s="179"/>
      <c r="EI157" s="179"/>
      <c r="EJ157" s="179"/>
      <c r="EK157" s="179"/>
      <c r="EL157" s="179"/>
      <c r="EM157" s="179"/>
      <c r="EN157" s="179"/>
      <c r="EO157" s="179"/>
      <c r="EP157" s="179"/>
      <c r="EQ157" s="179"/>
      <c r="ER157" s="179"/>
      <c r="ES157" s="179"/>
      <c r="ET157" s="179"/>
      <c r="EU157" s="179"/>
      <c r="EV157" s="179"/>
      <c r="EW157" s="179"/>
      <c r="EX157" s="179"/>
      <c r="EY157" s="179"/>
      <c r="EZ157" s="179"/>
      <c r="FA157" s="179"/>
      <c r="FB157" s="179"/>
      <c r="FC157" s="179"/>
      <c r="FD157" s="179"/>
      <c r="FE157" s="179"/>
      <c r="FF157" s="179"/>
      <c r="FG157" s="179"/>
      <c r="FH157" s="179"/>
      <c r="FI157" s="179"/>
      <c r="FJ157" s="179"/>
      <c r="FK157" s="179"/>
      <c r="FL157" s="179"/>
      <c r="FM157" s="179"/>
      <c r="FN157" s="179"/>
      <c r="FO157" s="179"/>
      <c r="FP157" s="179"/>
      <c r="FQ157" s="179"/>
      <c r="FR157" s="179"/>
      <c r="FS157" s="179"/>
      <c r="FT157" s="179"/>
      <c r="FU157" s="179"/>
      <c r="FV157" s="179"/>
      <c r="FW157" s="179"/>
      <c r="FX157" s="179"/>
      <c r="FY157" s="179"/>
      <c r="FZ157" s="179"/>
      <c r="GA157" s="179"/>
      <c r="GB157" s="179"/>
      <c r="GC157" s="179"/>
      <c r="GD157" s="179"/>
      <c r="GE157" s="179"/>
      <c r="GF157" s="179"/>
      <c r="GG157" s="179"/>
      <c r="GH157" s="179"/>
      <c r="GI157" s="179"/>
      <c r="GJ157" s="179"/>
      <c r="GK157" s="179"/>
      <c r="GL157" s="179"/>
      <c r="GM157" s="179"/>
      <c r="GN157" s="179"/>
      <c r="GO157" s="179"/>
      <c r="GP157" s="179"/>
      <c r="GQ157" s="179"/>
      <c r="GR157" s="179"/>
      <c r="GS157" s="179"/>
      <c r="GT157" s="179"/>
      <c r="GU157" s="179"/>
      <c r="GV157" s="179"/>
      <c r="GW157" s="179"/>
      <c r="GX157" s="179"/>
      <c r="GY157" s="179"/>
      <c r="GZ157" s="179"/>
      <c r="HA157" s="179"/>
      <c r="HB157" s="179"/>
      <c r="HC157" s="179"/>
      <c r="HD157" s="179"/>
      <c r="HE157" s="179"/>
      <c r="HF157" s="179"/>
      <c r="HG157" s="179"/>
      <c r="HH157" s="179"/>
      <c r="HI157" s="179"/>
      <c r="HJ157" s="179"/>
      <c r="HK157" s="179"/>
      <c r="HL157" s="179"/>
      <c r="HM157" s="179"/>
      <c r="HN157" s="179"/>
      <c r="HO157" s="179"/>
      <c r="HP157" s="179"/>
      <c r="HQ157" s="179"/>
      <c r="HR157" s="179"/>
      <c r="HS157" s="179"/>
      <c r="HT157" s="179"/>
      <c r="HU157" s="179"/>
      <c r="HV157" s="179"/>
      <c r="HW157" s="179"/>
      <c r="HX157" s="179"/>
      <c r="HY157" s="179"/>
      <c r="HZ157" s="179"/>
      <c r="IA157" s="179"/>
      <c r="IB157" s="179"/>
      <c r="IC157" s="179"/>
      <c r="ID157" s="179"/>
      <c r="IE157" s="179"/>
      <c r="IF157" s="179"/>
      <c r="IG157" s="179"/>
      <c r="IH157" s="179"/>
      <c r="II157" s="179"/>
      <c r="IJ157" s="179"/>
      <c r="IK157" s="179"/>
      <c r="IL157" s="179"/>
      <c r="IM157" s="179"/>
      <c r="IN157" s="179"/>
      <c r="IO157" s="179"/>
      <c r="IP157" s="179"/>
      <c r="IQ157" s="179"/>
      <c r="IR157" s="179"/>
    </row>
    <row r="158" spans="1:253">
      <c r="A158" s="218" t="s">
        <v>1597</v>
      </c>
      <c r="B158" s="193">
        <v>147213.87</v>
      </c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79"/>
      <c r="BN158" s="179"/>
      <c r="BO158" s="179"/>
      <c r="BP158" s="179"/>
      <c r="BQ158" s="179"/>
      <c r="BR158" s="179"/>
      <c r="BS158" s="179"/>
      <c r="BT158" s="179"/>
      <c r="BU158" s="179"/>
      <c r="BV158" s="179"/>
      <c r="BW158" s="179"/>
      <c r="BX158" s="179"/>
      <c r="BY158" s="179"/>
      <c r="BZ158" s="179"/>
      <c r="CA158" s="179"/>
      <c r="CB158" s="179"/>
      <c r="CC158" s="179"/>
      <c r="CD158" s="179"/>
      <c r="CE158" s="179"/>
      <c r="CF158" s="179"/>
      <c r="CG158" s="179"/>
      <c r="CH158" s="179"/>
      <c r="CI158" s="179"/>
      <c r="CJ158" s="179"/>
      <c r="CK158" s="179"/>
      <c r="CL158" s="179"/>
      <c r="CM158" s="179"/>
      <c r="CN158" s="179"/>
      <c r="CO158" s="179"/>
      <c r="CP158" s="179"/>
      <c r="CQ158" s="179"/>
      <c r="CR158" s="179"/>
      <c r="CS158" s="179"/>
      <c r="CT158" s="179"/>
      <c r="CU158" s="179"/>
      <c r="CV158" s="179"/>
      <c r="CW158" s="179"/>
      <c r="CX158" s="179"/>
      <c r="CY158" s="179"/>
      <c r="CZ158" s="179"/>
      <c r="DA158" s="179"/>
      <c r="DB158" s="179"/>
      <c r="DC158" s="179"/>
      <c r="DD158" s="179"/>
      <c r="DE158" s="179"/>
      <c r="DF158" s="179"/>
      <c r="DG158" s="179"/>
      <c r="DH158" s="179"/>
      <c r="DI158" s="179"/>
      <c r="DJ158" s="179"/>
      <c r="DK158" s="179"/>
      <c r="DL158" s="179"/>
      <c r="DM158" s="179"/>
      <c r="DN158" s="179"/>
      <c r="DO158" s="179"/>
      <c r="DP158" s="179"/>
      <c r="DQ158" s="179"/>
      <c r="DR158" s="179"/>
      <c r="DS158" s="179"/>
      <c r="DT158" s="179"/>
      <c r="DU158" s="179"/>
      <c r="DV158" s="179"/>
      <c r="DW158" s="179"/>
      <c r="DX158" s="179"/>
      <c r="DY158" s="179"/>
      <c r="DZ158" s="179"/>
      <c r="EA158" s="179"/>
      <c r="EB158" s="179"/>
      <c r="EC158" s="179"/>
      <c r="ED158" s="179"/>
      <c r="EE158" s="179"/>
      <c r="EF158" s="179"/>
      <c r="EG158" s="179"/>
      <c r="EH158" s="179"/>
      <c r="EI158" s="179"/>
      <c r="EJ158" s="179"/>
      <c r="EK158" s="179"/>
      <c r="EL158" s="179"/>
      <c r="EM158" s="179"/>
      <c r="EN158" s="179"/>
      <c r="EO158" s="179"/>
      <c r="EP158" s="179"/>
      <c r="EQ158" s="179"/>
      <c r="ER158" s="179"/>
      <c r="ES158" s="179"/>
      <c r="ET158" s="179"/>
      <c r="EU158" s="179"/>
      <c r="EV158" s="179"/>
      <c r="EW158" s="179"/>
      <c r="EX158" s="179"/>
      <c r="EY158" s="179"/>
      <c r="EZ158" s="179"/>
      <c r="FA158" s="179"/>
      <c r="FB158" s="179"/>
      <c r="FC158" s="179"/>
      <c r="FD158" s="179"/>
      <c r="FE158" s="179"/>
      <c r="FF158" s="179"/>
      <c r="FG158" s="179"/>
      <c r="FH158" s="179"/>
      <c r="FI158" s="179"/>
      <c r="FJ158" s="179"/>
      <c r="FK158" s="179"/>
      <c r="FL158" s="179"/>
      <c r="FM158" s="179"/>
      <c r="FN158" s="179"/>
      <c r="FO158" s="179"/>
      <c r="FP158" s="179"/>
      <c r="FQ158" s="179"/>
      <c r="FR158" s="179"/>
      <c r="FS158" s="179"/>
      <c r="FT158" s="179"/>
      <c r="FU158" s="179"/>
      <c r="FV158" s="179"/>
      <c r="FW158" s="179"/>
      <c r="FX158" s="179"/>
      <c r="FY158" s="179"/>
      <c r="FZ158" s="179"/>
      <c r="GA158" s="179"/>
      <c r="GB158" s="179"/>
      <c r="GC158" s="179"/>
      <c r="GD158" s="179"/>
      <c r="GE158" s="179"/>
      <c r="GF158" s="179"/>
      <c r="GG158" s="179"/>
      <c r="GH158" s="179"/>
      <c r="GI158" s="179"/>
      <c r="GJ158" s="179"/>
      <c r="GK158" s="179"/>
      <c r="GL158" s="179"/>
      <c r="GM158" s="179"/>
      <c r="GN158" s="179"/>
      <c r="GO158" s="179"/>
      <c r="GP158" s="179"/>
      <c r="GQ158" s="179"/>
      <c r="GR158" s="179"/>
      <c r="GS158" s="179"/>
      <c r="GT158" s="179"/>
      <c r="GU158" s="179"/>
      <c r="GV158" s="179"/>
      <c r="GW158" s="179"/>
      <c r="GX158" s="179"/>
      <c r="GY158" s="179"/>
      <c r="GZ158" s="179"/>
      <c r="HA158" s="179"/>
      <c r="HB158" s="179"/>
      <c r="HC158" s="179"/>
      <c r="HD158" s="179"/>
      <c r="HE158" s="179"/>
      <c r="HF158" s="179"/>
      <c r="HG158" s="179"/>
      <c r="HH158" s="179"/>
      <c r="HI158" s="179"/>
      <c r="HJ158" s="179"/>
      <c r="HK158" s="179"/>
      <c r="HL158" s="179"/>
      <c r="HM158" s="179"/>
      <c r="HN158" s="179"/>
      <c r="HO158" s="179"/>
      <c r="HP158" s="179"/>
      <c r="HQ158" s="179"/>
      <c r="HR158" s="179"/>
      <c r="HS158" s="179"/>
      <c r="HT158" s="179"/>
      <c r="HU158" s="179"/>
      <c r="HV158" s="179"/>
      <c r="HW158" s="179"/>
      <c r="HX158" s="179"/>
      <c r="HY158" s="179"/>
      <c r="HZ158" s="179"/>
      <c r="IA158" s="179"/>
      <c r="IB158" s="179"/>
      <c r="IC158" s="179"/>
      <c r="ID158" s="179"/>
      <c r="IE158" s="179"/>
      <c r="IF158" s="179"/>
      <c r="IG158" s="179"/>
      <c r="IH158" s="179"/>
      <c r="II158" s="179"/>
      <c r="IJ158" s="179"/>
      <c r="IK158" s="179"/>
      <c r="IL158" s="179"/>
      <c r="IM158" s="179"/>
      <c r="IN158" s="179"/>
      <c r="IO158" s="179"/>
      <c r="IP158" s="179"/>
      <c r="IQ158" s="179"/>
      <c r="IR158" s="179"/>
    </row>
    <row r="159" spans="1:253" ht="29.25" customHeight="1">
      <c r="A159" s="216" t="s">
        <v>2025</v>
      </c>
      <c r="B159" s="196">
        <f>B157</f>
        <v>530532.13</v>
      </c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79"/>
      <c r="BQ159" s="179"/>
      <c r="BR159" s="179"/>
      <c r="BS159" s="179"/>
      <c r="BT159" s="179"/>
      <c r="BU159" s="179"/>
      <c r="BV159" s="179"/>
      <c r="BW159" s="179"/>
      <c r="BX159" s="179"/>
      <c r="BY159" s="179"/>
      <c r="BZ159" s="179"/>
      <c r="CA159" s="179"/>
      <c r="CB159" s="179"/>
      <c r="CC159" s="179"/>
      <c r="CD159" s="179"/>
      <c r="CE159" s="179"/>
      <c r="CF159" s="179"/>
      <c r="CG159" s="179"/>
      <c r="CH159" s="179"/>
      <c r="CI159" s="179"/>
      <c r="CJ159" s="179"/>
      <c r="CK159" s="179"/>
      <c r="CL159" s="179"/>
      <c r="CM159" s="179"/>
      <c r="CN159" s="179"/>
      <c r="CO159" s="179"/>
      <c r="CP159" s="179"/>
      <c r="CQ159" s="179"/>
      <c r="CR159" s="179"/>
      <c r="CS159" s="179"/>
      <c r="CT159" s="179"/>
      <c r="CU159" s="179"/>
      <c r="CV159" s="179"/>
      <c r="CW159" s="179"/>
      <c r="CX159" s="179"/>
      <c r="CY159" s="179"/>
      <c r="CZ159" s="179"/>
      <c r="DA159" s="179"/>
      <c r="DB159" s="179"/>
      <c r="DC159" s="179"/>
      <c r="DD159" s="179"/>
      <c r="DE159" s="179"/>
      <c r="DF159" s="179"/>
      <c r="DG159" s="179"/>
      <c r="DH159" s="179"/>
      <c r="DI159" s="179"/>
      <c r="DJ159" s="179"/>
      <c r="DK159" s="179"/>
      <c r="DL159" s="179"/>
      <c r="DM159" s="179"/>
      <c r="DN159" s="179"/>
      <c r="DO159" s="179"/>
      <c r="DP159" s="179"/>
      <c r="DQ159" s="179"/>
      <c r="DR159" s="179"/>
      <c r="DS159" s="179"/>
      <c r="DT159" s="179"/>
      <c r="DU159" s="179"/>
      <c r="DV159" s="179"/>
      <c r="DW159" s="179"/>
      <c r="DX159" s="179"/>
      <c r="DY159" s="179"/>
      <c r="DZ159" s="179"/>
      <c r="EA159" s="179"/>
      <c r="EB159" s="179"/>
      <c r="EC159" s="179"/>
      <c r="ED159" s="179"/>
      <c r="EE159" s="179"/>
      <c r="EF159" s="179"/>
      <c r="EG159" s="179"/>
      <c r="EH159" s="179"/>
      <c r="EI159" s="179"/>
      <c r="EJ159" s="179"/>
      <c r="EK159" s="179"/>
      <c r="EL159" s="179"/>
      <c r="EM159" s="179"/>
      <c r="EN159" s="179"/>
      <c r="EO159" s="179"/>
      <c r="EP159" s="179"/>
      <c r="EQ159" s="179"/>
      <c r="ER159" s="179"/>
      <c r="ES159" s="179"/>
      <c r="ET159" s="179"/>
      <c r="EU159" s="179"/>
      <c r="EV159" s="179"/>
      <c r="EW159" s="179"/>
      <c r="EX159" s="179"/>
      <c r="EY159" s="179"/>
      <c r="EZ159" s="179"/>
      <c r="FA159" s="179"/>
      <c r="FB159" s="179"/>
      <c r="FC159" s="179"/>
      <c r="FD159" s="179"/>
      <c r="FE159" s="179"/>
      <c r="FF159" s="179"/>
      <c r="FG159" s="179"/>
      <c r="FH159" s="179"/>
      <c r="FI159" s="179"/>
      <c r="FJ159" s="179"/>
      <c r="FK159" s="179"/>
      <c r="FL159" s="179"/>
      <c r="FM159" s="179"/>
      <c r="FN159" s="179"/>
      <c r="FO159" s="179"/>
      <c r="FP159" s="179"/>
      <c r="FQ159" s="179"/>
      <c r="FR159" s="179"/>
      <c r="FS159" s="179"/>
      <c r="FT159" s="179"/>
      <c r="FU159" s="179"/>
      <c r="FV159" s="179"/>
      <c r="FW159" s="179"/>
      <c r="FX159" s="179"/>
      <c r="FY159" s="179"/>
      <c r="FZ159" s="179"/>
      <c r="GA159" s="179"/>
      <c r="GB159" s="179"/>
      <c r="GC159" s="179"/>
      <c r="GD159" s="179"/>
      <c r="GE159" s="179"/>
      <c r="GF159" s="179"/>
      <c r="GG159" s="179"/>
      <c r="GH159" s="179"/>
      <c r="GI159" s="179"/>
      <c r="GJ159" s="179"/>
      <c r="GK159" s="179"/>
      <c r="GL159" s="179"/>
      <c r="GM159" s="179"/>
      <c r="GN159" s="179"/>
      <c r="GO159" s="179"/>
      <c r="GP159" s="179"/>
      <c r="GQ159" s="179"/>
      <c r="GR159" s="179"/>
      <c r="GS159" s="179"/>
      <c r="GT159" s="179"/>
      <c r="GU159" s="179"/>
      <c r="GV159" s="179"/>
      <c r="GW159" s="179"/>
      <c r="GX159" s="179"/>
      <c r="GY159" s="179"/>
      <c r="GZ159" s="179"/>
      <c r="HA159" s="179"/>
      <c r="HB159" s="179"/>
      <c r="HC159" s="179"/>
      <c r="HD159" s="179"/>
      <c r="HE159" s="179"/>
      <c r="HF159" s="179"/>
      <c r="HG159" s="179"/>
      <c r="HH159" s="179"/>
      <c r="HI159" s="179"/>
      <c r="HJ159" s="179"/>
      <c r="HK159" s="179"/>
      <c r="HL159" s="179"/>
      <c r="HM159" s="179"/>
      <c r="HN159" s="179"/>
      <c r="HO159" s="179"/>
      <c r="HP159" s="179"/>
      <c r="HQ159" s="179"/>
      <c r="HR159" s="179"/>
      <c r="HS159" s="179"/>
      <c r="HT159" s="179"/>
      <c r="HU159" s="179"/>
      <c r="HV159" s="179"/>
      <c r="HW159" s="179"/>
      <c r="HX159" s="179"/>
      <c r="HY159" s="179"/>
      <c r="HZ159" s="179"/>
      <c r="IA159" s="179"/>
      <c r="IB159" s="179"/>
      <c r="IC159" s="179"/>
      <c r="ID159" s="179"/>
      <c r="IE159" s="179"/>
      <c r="IF159" s="179"/>
      <c r="IG159" s="179"/>
      <c r="IH159" s="179"/>
      <c r="II159" s="179"/>
      <c r="IJ159" s="179"/>
      <c r="IK159" s="179"/>
      <c r="IL159" s="179"/>
      <c r="IM159" s="179"/>
      <c r="IN159" s="179"/>
      <c r="IO159" s="179"/>
      <c r="IP159" s="179"/>
      <c r="IQ159" s="179"/>
      <c r="IR159" s="179"/>
    </row>
    <row r="160" spans="1:253">
      <c r="A160" s="179"/>
      <c r="B160" s="213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  <c r="BD160" s="179"/>
      <c r="BE160" s="179"/>
      <c r="BF160" s="179"/>
      <c r="BG160" s="179"/>
      <c r="BH160" s="179"/>
      <c r="BI160" s="179"/>
      <c r="BJ160" s="179"/>
      <c r="BK160" s="179"/>
      <c r="BL160" s="179"/>
      <c r="BM160" s="179"/>
      <c r="BN160" s="179"/>
      <c r="BO160" s="179"/>
      <c r="BP160" s="179"/>
      <c r="BQ160" s="179"/>
      <c r="BR160" s="179"/>
      <c r="BS160" s="179"/>
      <c r="BT160" s="179"/>
      <c r="BU160" s="179"/>
      <c r="BV160" s="179"/>
      <c r="BW160" s="179"/>
      <c r="BX160" s="179"/>
      <c r="BY160" s="179"/>
      <c r="BZ160" s="179"/>
      <c r="CA160" s="179"/>
      <c r="CB160" s="179"/>
      <c r="CC160" s="179"/>
      <c r="CD160" s="179"/>
      <c r="CE160" s="179"/>
      <c r="CF160" s="179"/>
      <c r="CG160" s="179"/>
      <c r="CH160" s="179"/>
      <c r="CI160" s="179"/>
      <c r="CJ160" s="179"/>
      <c r="CK160" s="179"/>
      <c r="CL160" s="179"/>
      <c r="CM160" s="179"/>
      <c r="CN160" s="179"/>
      <c r="CO160" s="179"/>
      <c r="CP160" s="179"/>
      <c r="CQ160" s="179"/>
      <c r="CR160" s="179"/>
      <c r="CS160" s="179"/>
      <c r="CT160" s="179"/>
      <c r="CU160" s="179"/>
      <c r="CV160" s="179"/>
      <c r="CW160" s="179"/>
      <c r="CX160" s="179"/>
      <c r="CY160" s="179"/>
      <c r="CZ160" s="179"/>
      <c r="DA160" s="179"/>
      <c r="DB160" s="179"/>
      <c r="DC160" s="179"/>
      <c r="DD160" s="179"/>
      <c r="DE160" s="179"/>
      <c r="DF160" s="179"/>
      <c r="DG160" s="179"/>
      <c r="DH160" s="179"/>
      <c r="DI160" s="179"/>
      <c r="DJ160" s="179"/>
      <c r="DK160" s="179"/>
      <c r="DL160" s="179"/>
      <c r="DM160" s="179"/>
      <c r="DN160" s="179"/>
      <c r="DO160" s="179"/>
      <c r="DP160" s="179"/>
      <c r="DQ160" s="179"/>
      <c r="DR160" s="179"/>
      <c r="DS160" s="179"/>
      <c r="DT160" s="179"/>
      <c r="DU160" s="179"/>
      <c r="DV160" s="179"/>
      <c r="DW160" s="179"/>
      <c r="DX160" s="179"/>
      <c r="DY160" s="179"/>
      <c r="DZ160" s="179"/>
      <c r="EA160" s="179"/>
      <c r="EB160" s="179"/>
      <c r="EC160" s="179"/>
      <c r="ED160" s="179"/>
      <c r="EE160" s="179"/>
      <c r="EF160" s="179"/>
      <c r="EG160" s="179"/>
      <c r="EH160" s="179"/>
      <c r="EI160" s="179"/>
      <c r="EJ160" s="179"/>
      <c r="EK160" s="179"/>
      <c r="EL160" s="179"/>
      <c r="EM160" s="179"/>
      <c r="EN160" s="179"/>
      <c r="EO160" s="179"/>
      <c r="EP160" s="179"/>
      <c r="EQ160" s="179"/>
      <c r="ER160" s="179"/>
      <c r="ES160" s="179"/>
      <c r="ET160" s="179"/>
      <c r="EU160" s="179"/>
      <c r="EV160" s="179"/>
      <c r="EW160" s="179"/>
      <c r="EX160" s="179"/>
      <c r="EY160" s="179"/>
      <c r="EZ160" s="179"/>
      <c r="FA160" s="179"/>
      <c r="FB160" s="179"/>
      <c r="FC160" s="179"/>
      <c r="FD160" s="179"/>
      <c r="FE160" s="179"/>
      <c r="FF160" s="179"/>
      <c r="FG160" s="179"/>
      <c r="FH160" s="179"/>
      <c r="FI160" s="179"/>
      <c r="FJ160" s="179"/>
      <c r="FK160" s="179"/>
      <c r="FL160" s="179"/>
      <c r="FM160" s="179"/>
      <c r="FN160" s="179"/>
      <c r="FO160" s="179"/>
      <c r="FP160" s="179"/>
      <c r="FQ160" s="179"/>
      <c r="FR160" s="179"/>
      <c r="FS160" s="179"/>
      <c r="FT160" s="179"/>
      <c r="FU160" s="179"/>
      <c r="FV160" s="179"/>
      <c r="FW160" s="179"/>
      <c r="FX160" s="179"/>
      <c r="FY160" s="179"/>
      <c r="FZ160" s="179"/>
      <c r="GA160" s="179"/>
      <c r="GB160" s="179"/>
      <c r="GC160" s="179"/>
      <c r="GD160" s="179"/>
      <c r="GE160" s="179"/>
      <c r="GF160" s="179"/>
      <c r="GG160" s="179"/>
      <c r="GH160" s="179"/>
      <c r="GI160" s="179"/>
      <c r="GJ160" s="179"/>
      <c r="GK160" s="179"/>
      <c r="GL160" s="179"/>
      <c r="GM160" s="179"/>
      <c r="GN160" s="179"/>
      <c r="GO160" s="179"/>
      <c r="GP160" s="179"/>
      <c r="GQ160" s="179"/>
      <c r="GR160" s="179"/>
      <c r="GS160" s="179"/>
      <c r="GT160" s="179"/>
      <c r="GU160" s="179"/>
      <c r="GV160" s="179"/>
      <c r="GW160" s="179"/>
      <c r="GX160" s="179"/>
      <c r="GY160" s="179"/>
      <c r="GZ160" s="179"/>
      <c r="HA160" s="179"/>
      <c r="HB160" s="179"/>
      <c r="HC160" s="179"/>
      <c r="HD160" s="179"/>
      <c r="HE160" s="179"/>
      <c r="HF160" s="179"/>
      <c r="HG160" s="179"/>
      <c r="HH160" s="179"/>
      <c r="HI160" s="179"/>
      <c r="HJ160" s="179"/>
      <c r="HK160" s="179"/>
      <c r="HL160" s="179"/>
      <c r="HM160" s="179"/>
      <c r="HN160" s="179"/>
      <c r="HO160" s="179"/>
      <c r="HP160" s="179"/>
      <c r="HQ160" s="179"/>
      <c r="HR160" s="179"/>
      <c r="HS160" s="179"/>
      <c r="HT160" s="179"/>
      <c r="HU160" s="179"/>
      <c r="HV160" s="179"/>
      <c r="HW160" s="179"/>
      <c r="HX160" s="179"/>
      <c r="HY160" s="179"/>
      <c r="HZ160" s="179"/>
      <c r="IA160" s="179"/>
      <c r="IB160" s="179"/>
      <c r="IC160" s="179"/>
      <c r="ID160" s="179"/>
      <c r="IE160" s="179"/>
      <c r="IF160" s="179"/>
      <c r="IG160" s="179"/>
      <c r="IH160" s="179"/>
      <c r="II160" s="179"/>
      <c r="IJ160" s="179"/>
      <c r="IK160" s="179"/>
      <c r="IL160" s="179"/>
      <c r="IM160" s="179"/>
      <c r="IN160" s="179"/>
      <c r="IO160" s="179"/>
      <c r="IP160" s="179"/>
      <c r="IQ160" s="179"/>
      <c r="IR160" s="179"/>
    </row>
    <row r="161" spans="1:252">
      <c r="A161" s="324" t="s">
        <v>1600</v>
      </c>
      <c r="B161" s="198">
        <f>B163+B165+B166+B167+B169+B172+B170+B164+B170</f>
        <v>576207.62187482929</v>
      </c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179"/>
      <c r="BN161" s="179"/>
      <c r="BO161" s="179"/>
      <c r="BP161" s="179"/>
      <c r="BQ161" s="179"/>
      <c r="BR161" s="179"/>
      <c r="BS161" s="179"/>
      <c r="BT161" s="179"/>
      <c r="BU161" s="179"/>
      <c r="BV161" s="179"/>
      <c r="BW161" s="179"/>
      <c r="BX161" s="179"/>
      <c r="BY161" s="179"/>
      <c r="BZ161" s="179"/>
      <c r="CA161" s="179"/>
      <c r="CB161" s="179"/>
      <c r="CC161" s="179"/>
      <c r="CD161" s="179"/>
      <c r="CE161" s="179"/>
      <c r="CF161" s="179"/>
      <c r="CG161" s="179"/>
      <c r="CH161" s="179"/>
      <c r="CI161" s="179"/>
      <c r="CJ161" s="179"/>
      <c r="CK161" s="179"/>
      <c r="CL161" s="179"/>
      <c r="CM161" s="179"/>
      <c r="CN161" s="179"/>
      <c r="CO161" s="179"/>
      <c r="CP161" s="179"/>
      <c r="CQ161" s="179"/>
      <c r="CR161" s="179"/>
      <c r="CS161" s="179"/>
      <c r="CT161" s="179"/>
      <c r="CU161" s="179"/>
      <c r="CV161" s="179"/>
      <c r="CW161" s="179"/>
      <c r="CX161" s="179"/>
      <c r="CY161" s="179"/>
      <c r="CZ161" s="179"/>
      <c r="DA161" s="179"/>
      <c r="DB161" s="179"/>
      <c r="DC161" s="179"/>
      <c r="DD161" s="179"/>
      <c r="DE161" s="179"/>
      <c r="DF161" s="179"/>
      <c r="DG161" s="179"/>
      <c r="DH161" s="179"/>
      <c r="DI161" s="179"/>
      <c r="DJ161" s="179"/>
      <c r="DK161" s="179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  <c r="DY161" s="179"/>
      <c r="DZ161" s="179"/>
      <c r="EA161" s="179"/>
      <c r="EB161" s="179"/>
      <c r="EC161" s="179"/>
      <c r="ED161" s="179"/>
      <c r="EE161" s="179"/>
      <c r="EF161" s="179"/>
      <c r="EG161" s="179"/>
      <c r="EH161" s="179"/>
      <c r="EI161" s="179"/>
      <c r="EJ161" s="179"/>
      <c r="EK161" s="179"/>
      <c r="EL161" s="179"/>
      <c r="EM161" s="179"/>
      <c r="EN161" s="179"/>
      <c r="EO161" s="179"/>
      <c r="EP161" s="179"/>
      <c r="EQ161" s="179"/>
      <c r="ER161" s="179"/>
      <c r="ES161" s="179"/>
      <c r="ET161" s="179"/>
      <c r="EU161" s="179"/>
      <c r="EV161" s="179"/>
      <c r="EW161" s="179"/>
      <c r="EX161" s="179"/>
      <c r="EY161" s="179"/>
      <c r="EZ161" s="179"/>
      <c r="FA161" s="179"/>
      <c r="FB161" s="179"/>
      <c r="FC161" s="179"/>
      <c r="FD161" s="179"/>
      <c r="FE161" s="179"/>
      <c r="FF161" s="179"/>
      <c r="FG161" s="179"/>
      <c r="FH161" s="179"/>
      <c r="FI161" s="179"/>
      <c r="FJ161" s="179"/>
      <c r="FK161" s="179"/>
      <c r="FL161" s="179"/>
      <c r="FM161" s="179"/>
      <c r="FN161" s="179"/>
      <c r="FO161" s="179"/>
      <c r="FP161" s="179"/>
      <c r="FQ161" s="179"/>
      <c r="FR161" s="179"/>
      <c r="FS161" s="179"/>
      <c r="FT161" s="179"/>
      <c r="FU161" s="179"/>
      <c r="FV161" s="179"/>
      <c r="FW161" s="179"/>
      <c r="FX161" s="179"/>
      <c r="FY161" s="179"/>
      <c r="FZ161" s="179"/>
      <c r="GA161" s="179"/>
      <c r="GB161" s="179"/>
      <c r="GC161" s="179"/>
      <c r="GD161" s="179"/>
      <c r="GE161" s="179"/>
      <c r="GF161" s="179"/>
      <c r="GG161" s="179"/>
      <c r="GH161" s="179"/>
      <c r="GI161" s="179"/>
      <c r="GJ161" s="179"/>
      <c r="GK161" s="179"/>
      <c r="GL161" s="179"/>
      <c r="GM161" s="179"/>
      <c r="GN161" s="179"/>
      <c r="GO161" s="179"/>
      <c r="GP161" s="179"/>
      <c r="GQ161" s="179"/>
      <c r="GR161" s="179"/>
      <c r="GS161" s="179"/>
      <c r="GT161" s="179"/>
      <c r="GU161" s="179"/>
      <c r="GV161" s="179"/>
      <c r="GW161" s="179"/>
      <c r="GX161" s="179"/>
      <c r="GY161" s="179"/>
      <c r="GZ161" s="179"/>
      <c r="HA161" s="179"/>
      <c r="HB161" s="179"/>
      <c r="HC161" s="179"/>
      <c r="HD161" s="179"/>
      <c r="HE161" s="179"/>
      <c r="HF161" s="179"/>
      <c r="HG161" s="179"/>
      <c r="HH161" s="179"/>
      <c r="HI161" s="179"/>
      <c r="HJ161" s="179"/>
      <c r="HK161" s="179"/>
      <c r="HL161" s="179"/>
      <c r="HM161" s="179"/>
      <c r="HN161" s="179"/>
      <c r="HO161" s="179"/>
      <c r="HP161" s="179"/>
      <c r="HQ161" s="179"/>
      <c r="HR161" s="179"/>
      <c r="HS161" s="179"/>
      <c r="HT161" s="179"/>
      <c r="HU161" s="179"/>
      <c r="HV161" s="179"/>
      <c r="HW161" s="179"/>
      <c r="HX161" s="179"/>
      <c r="HY161" s="179"/>
      <c r="HZ161" s="179"/>
      <c r="IA161" s="179"/>
      <c r="IB161" s="179"/>
      <c r="IC161" s="179"/>
      <c r="ID161" s="179"/>
      <c r="IE161" s="179"/>
      <c r="IF161" s="179"/>
      <c r="IG161" s="179"/>
      <c r="IH161" s="179"/>
      <c r="II161" s="179"/>
      <c r="IJ161" s="179"/>
      <c r="IK161" s="179"/>
      <c r="IL161" s="179"/>
      <c r="IM161" s="179"/>
      <c r="IN161" s="179"/>
      <c r="IO161" s="179"/>
      <c r="IP161" s="179"/>
      <c r="IQ161" s="179"/>
      <c r="IR161" s="179"/>
    </row>
    <row r="162" spans="1:252">
      <c r="A162" s="325" t="s">
        <v>599</v>
      </c>
      <c r="B162" s="193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79"/>
      <c r="BF162" s="179"/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79"/>
      <c r="CI162" s="179"/>
      <c r="CJ162" s="179"/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79"/>
      <c r="DG162" s="179"/>
      <c r="DH162" s="179"/>
      <c r="DI162" s="179"/>
      <c r="DJ162" s="179"/>
      <c r="DK162" s="179"/>
      <c r="DL162" s="179"/>
      <c r="DM162" s="179"/>
      <c r="DN162" s="179"/>
      <c r="DO162" s="179"/>
      <c r="DP162" s="179"/>
      <c r="DQ162" s="179"/>
      <c r="DR162" s="179"/>
      <c r="DS162" s="179"/>
      <c r="DT162" s="179"/>
      <c r="DU162" s="179"/>
      <c r="DV162" s="179"/>
      <c r="DW162" s="179"/>
      <c r="DX162" s="179"/>
      <c r="DY162" s="179"/>
      <c r="DZ162" s="179"/>
      <c r="EA162" s="179"/>
      <c r="EB162" s="179"/>
      <c r="EC162" s="179"/>
      <c r="ED162" s="179"/>
      <c r="EE162" s="179"/>
      <c r="EF162" s="179"/>
      <c r="EG162" s="179"/>
      <c r="EH162" s="179"/>
      <c r="EI162" s="179"/>
      <c r="EJ162" s="179"/>
      <c r="EK162" s="179"/>
      <c r="EL162" s="179"/>
      <c r="EM162" s="179"/>
      <c r="EN162" s="179"/>
      <c r="EO162" s="179"/>
      <c r="EP162" s="179"/>
      <c r="EQ162" s="179"/>
      <c r="ER162" s="179"/>
      <c r="ES162" s="179"/>
      <c r="ET162" s="179"/>
      <c r="EU162" s="179"/>
      <c r="EV162" s="179"/>
      <c r="EW162" s="179"/>
      <c r="EX162" s="179"/>
      <c r="EY162" s="179"/>
      <c r="EZ162" s="179"/>
      <c r="FA162" s="179"/>
      <c r="FB162" s="179"/>
      <c r="FC162" s="179"/>
      <c r="FD162" s="179"/>
      <c r="FE162" s="179"/>
      <c r="FF162" s="179"/>
      <c r="FG162" s="179"/>
      <c r="FH162" s="179"/>
      <c r="FI162" s="179"/>
      <c r="FJ162" s="179"/>
      <c r="FK162" s="179"/>
      <c r="FL162" s="179"/>
      <c r="FM162" s="179"/>
      <c r="FN162" s="179"/>
      <c r="FO162" s="179"/>
      <c r="FP162" s="179"/>
      <c r="FQ162" s="179"/>
      <c r="FR162" s="179"/>
      <c r="FS162" s="179"/>
      <c r="FT162" s="179"/>
      <c r="FU162" s="179"/>
      <c r="FV162" s="179"/>
      <c r="FW162" s="179"/>
      <c r="FX162" s="179"/>
      <c r="FY162" s="179"/>
      <c r="FZ162" s="179"/>
      <c r="GA162" s="179"/>
      <c r="GB162" s="179"/>
      <c r="GC162" s="179"/>
      <c r="GD162" s="179"/>
      <c r="GE162" s="179"/>
      <c r="GF162" s="179"/>
      <c r="GG162" s="179"/>
      <c r="GH162" s="179"/>
      <c r="GI162" s="179"/>
      <c r="GJ162" s="179"/>
      <c r="GK162" s="179"/>
      <c r="GL162" s="179"/>
      <c r="GM162" s="179"/>
      <c r="GN162" s="179"/>
      <c r="GO162" s="179"/>
      <c r="GP162" s="179"/>
      <c r="GQ162" s="179"/>
      <c r="GR162" s="179"/>
      <c r="GS162" s="179"/>
      <c r="GT162" s="179"/>
      <c r="GU162" s="179"/>
      <c r="GV162" s="179"/>
      <c r="GW162" s="179"/>
      <c r="GX162" s="179"/>
      <c r="GY162" s="179"/>
      <c r="GZ162" s="179"/>
      <c r="HA162" s="179"/>
      <c r="HB162" s="179"/>
      <c r="HC162" s="179"/>
      <c r="HD162" s="179"/>
      <c r="HE162" s="179"/>
      <c r="HF162" s="179"/>
      <c r="HG162" s="179"/>
      <c r="HH162" s="179"/>
      <c r="HI162" s="179"/>
      <c r="HJ162" s="179"/>
      <c r="HK162" s="179"/>
      <c r="HL162" s="179"/>
      <c r="HM162" s="179"/>
      <c r="HN162" s="179"/>
      <c r="HO162" s="179"/>
      <c r="HP162" s="179"/>
      <c r="HQ162" s="179"/>
      <c r="HR162" s="179"/>
      <c r="HS162" s="179"/>
      <c r="HT162" s="179"/>
      <c r="HU162" s="179"/>
      <c r="HV162" s="179"/>
      <c r="HW162" s="179"/>
      <c r="HX162" s="179"/>
      <c r="HY162" s="179"/>
      <c r="HZ162" s="179"/>
      <c r="IA162" s="179"/>
      <c r="IB162" s="179"/>
      <c r="IC162" s="179"/>
      <c r="ID162" s="179"/>
      <c r="IE162" s="179"/>
      <c r="IF162" s="179"/>
      <c r="IG162" s="179"/>
      <c r="IH162" s="179"/>
      <c r="II162" s="179"/>
      <c r="IJ162" s="179"/>
      <c r="IK162" s="179"/>
      <c r="IL162" s="179"/>
      <c r="IM162" s="179"/>
      <c r="IN162" s="179"/>
      <c r="IO162" s="179"/>
      <c r="IP162" s="179"/>
      <c r="IQ162" s="179"/>
      <c r="IR162" s="179"/>
    </row>
    <row r="163" spans="1:252" s="466" customFormat="1">
      <c r="A163" s="325" t="s">
        <v>521</v>
      </c>
      <c r="B163" s="194">
        <f>959300/45797.5*B152*1.5</f>
        <v>80566.746874829405</v>
      </c>
      <c r="C163" s="465"/>
      <c r="D163" s="465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465"/>
      <c r="P163" s="465"/>
      <c r="Q163" s="465"/>
      <c r="R163" s="465"/>
      <c r="S163" s="465"/>
      <c r="T163" s="465"/>
      <c r="U163" s="465"/>
      <c r="V163" s="465"/>
      <c r="W163" s="465"/>
      <c r="X163" s="465"/>
      <c r="Y163" s="465"/>
      <c r="Z163" s="465"/>
      <c r="AA163" s="465"/>
      <c r="AB163" s="465"/>
      <c r="AC163" s="465"/>
      <c r="AD163" s="465"/>
      <c r="AE163" s="465"/>
      <c r="AF163" s="465"/>
      <c r="AG163" s="465"/>
      <c r="AH163" s="465"/>
      <c r="AI163" s="465"/>
      <c r="AJ163" s="465"/>
      <c r="AK163" s="465"/>
      <c r="AL163" s="465"/>
      <c r="AM163" s="465"/>
      <c r="AN163" s="465"/>
      <c r="AO163" s="465"/>
      <c r="AP163" s="465"/>
      <c r="AQ163" s="465"/>
      <c r="AR163" s="465"/>
      <c r="AS163" s="465"/>
      <c r="AT163" s="465"/>
      <c r="AU163" s="465"/>
      <c r="AV163" s="465"/>
      <c r="AW163" s="465"/>
      <c r="AX163" s="465"/>
      <c r="AY163" s="465"/>
      <c r="AZ163" s="465"/>
      <c r="BA163" s="465"/>
      <c r="BB163" s="465"/>
      <c r="BC163" s="465"/>
      <c r="BD163" s="465"/>
      <c r="BE163" s="465"/>
      <c r="BF163" s="465"/>
      <c r="BG163" s="465"/>
      <c r="BH163" s="465"/>
      <c r="BI163" s="465"/>
      <c r="BJ163" s="465"/>
      <c r="BK163" s="465"/>
      <c r="BL163" s="465"/>
      <c r="BM163" s="465"/>
      <c r="BN163" s="465"/>
      <c r="BO163" s="465"/>
      <c r="BP163" s="465"/>
      <c r="BQ163" s="465"/>
      <c r="BR163" s="465"/>
      <c r="BS163" s="465"/>
      <c r="BT163" s="465"/>
      <c r="BU163" s="465"/>
      <c r="BV163" s="465"/>
      <c r="BW163" s="465"/>
      <c r="BX163" s="465"/>
      <c r="BY163" s="465"/>
      <c r="BZ163" s="465"/>
      <c r="CA163" s="465"/>
      <c r="CB163" s="465"/>
      <c r="CC163" s="465"/>
      <c r="CD163" s="465"/>
      <c r="CE163" s="465"/>
      <c r="CF163" s="465"/>
      <c r="CG163" s="465"/>
      <c r="CH163" s="465"/>
      <c r="CI163" s="465"/>
      <c r="CJ163" s="465"/>
      <c r="CK163" s="465"/>
      <c r="CL163" s="465"/>
      <c r="CM163" s="465"/>
      <c r="CN163" s="465"/>
      <c r="CO163" s="465"/>
      <c r="CP163" s="465"/>
      <c r="CQ163" s="465"/>
      <c r="CR163" s="465"/>
      <c r="CS163" s="465"/>
      <c r="CT163" s="465"/>
      <c r="CU163" s="465"/>
      <c r="CV163" s="465"/>
      <c r="CW163" s="465"/>
      <c r="CX163" s="465"/>
      <c r="CY163" s="465"/>
      <c r="CZ163" s="465"/>
      <c r="DA163" s="465"/>
      <c r="DB163" s="465"/>
      <c r="DC163" s="465"/>
      <c r="DD163" s="465"/>
      <c r="DE163" s="465"/>
      <c r="DF163" s="465"/>
      <c r="DG163" s="465"/>
      <c r="DH163" s="465"/>
      <c r="DI163" s="465"/>
      <c r="DJ163" s="465"/>
      <c r="DK163" s="465"/>
      <c r="DL163" s="465"/>
      <c r="DM163" s="465"/>
      <c r="DN163" s="465"/>
      <c r="DO163" s="465"/>
      <c r="DP163" s="465"/>
      <c r="DQ163" s="465"/>
      <c r="DR163" s="465"/>
      <c r="DS163" s="465"/>
      <c r="DT163" s="465"/>
      <c r="DU163" s="465"/>
      <c r="DV163" s="465"/>
      <c r="DW163" s="465"/>
      <c r="DX163" s="465"/>
      <c r="DY163" s="465"/>
      <c r="DZ163" s="465"/>
      <c r="EA163" s="465"/>
      <c r="EB163" s="465"/>
      <c r="EC163" s="465"/>
      <c r="ED163" s="465"/>
      <c r="EE163" s="465"/>
      <c r="EF163" s="465"/>
      <c r="EG163" s="465"/>
      <c r="EH163" s="465"/>
      <c r="EI163" s="465"/>
      <c r="EJ163" s="465"/>
      <c r="EK163" s="465"/>
      <c r="EL163" s="465"/>
      <c r="EM163" s="465"/>
      <c r="EN163" s="465"/>
      <c r="EO163" s="465"/>
      <c r="EP163" s="465"/>
      <c r="EQ163" s="465"/>
      <c r="ER163" s="465"/>
      <c r="ES163" s="465"/>
      <c r="ET163" s="465"/>
      <c r="EU163" s="465"/>
      <c r="EV163" s="465"/>
      <c r="EW163" s="465"/>
      <c r="EX163" s="465"/>
      <c r="EY163" s="465"/>
      <c r="EZ163" s="465"/>
      <c r="FA163" s="465"/>
      <c r="FB163" s="465"/>
      <c r="FC163" s="465"/>
      <c r="FD163" s="465"/>
      <c r="FE163" s="465"/>
      <c r="FF163" s="465"/>
      <c r="FG163" s="465"/>
      <c r="FH163" s="465"/>
      <c r="FI163" s="465"/>
      <c r="FJ163" s="465"/>
      <c r="FK163" s="465"/>
      <c r="FL163" s="465"/>
      <c r="FM163" s="465"/>
      <c r="FN163" s="465"/>
      <c r="FO163" s="465"/>
      <c r="FP163" s="465"/>
      <c r="FQ163" s="465"/>
      <c r="FR163" s="465"/>
      <c r="FS163" s="465"/>
      <c r="FT163" s="465"/>
      <c r="FU163" s="465"/>
      <c r="FV163" s="465"/>
      <c r="FW163" s="465"/>
      <c r="FX163" s="465"/>
      <c r="FY163" s="465"/>
      <c r="FZ163" s="465"/>
      <c r="GA163" s="465"/>
      <c r="GB163" s="465"/>
      <c r="GC163" s="465"/>
      <c r="GD163" s="465"/>
      <c r="GE163" s="465"/>
      <c r="GF163" s="465"/>
      <c r="GG163" s="465"/>
      <c r="GH163" s="465"/>
      <c r="GI163" s="465"/>
      <c r="GJ163" s="465"/>
      <c r="GK163" s="465"/>
      <c r="GL163" s="465"/>
      <c r="GM163" s="465"/>
      <c r="GN163" s="465"/>
      <c r="GO163" s="465"/>
      <c r="GP163" s="465"/>
      <c r="GQ163" s="465"/>
      <c r="GR163" s="465"/>
      <c r="GS163" s="465"/>
      <c r="GT163" s="465"/>
      <c r="GU163" s="465"/>
      <c r="GV163" s="465"/>
      <c r="GW163" s="465"/>
      <c r="GX163" s="465"/>
      <c r="GY163" s="465"/>
      <c r="GZ163" s="465"/>
      <c r="HA163" s="465"/>
      <c r="HB163" s="465"/>
      <c r="HC163" s="465"/>
      <c r="HD163" s="465"/>
      <c r="HE163" s="465"/>
      <c r="HF163" s="465"/>
      <c r="HG163" s="465"/>
      <c r="HH163" s="465"/>
      <c r="HI163" s="465"/>
      <c r="HJ163" s="465"/>
      <c r="HK163" s="465"/>
      <c r="HL163" s="465"/>
      <c r="HM163" s="465"/>
      <c r="HN163" s="465"/>
      <c r="HO163" s="465"/>
      <c r="HP163" s="465"/>
      <c r="HQ163" s="465"/>
      <c r="HR163" s="465"/>
      <c r="HS163" s="465"/>
      <c r="HT163" s="465"/>
      <c r="HU163" s="465"/>
      <c r="HV163" s="465"/>
      <c r="HW163" s="465"/>
      <c r="HX163" s="465"/>
      <c r="HY163" s="465"/>
      <c r="HZ163" s="465"/>
      <c r="IA163" s="465"/>
      <c r="IB163" s="465"/>
      <c r="IC163" s="465"/>
      <c r="ID163" s="465"/>
      <c r="IE163" s="465"/>
      <c r="IF163" s="465"/>
      <c r="IG163" s="465"/>
      <c r="IH163" s="465"/>
      <c r="II163" s="465"/>
      <c r="IJ163" s="465"/>
      <c r="IK163" s="465"/>
      <c r="IL163" s="465"/>
      <c r="IM163" s="465"/>
      <c r="IN163" s="465"/>
      <c r="IO163" s="465"/>
      <c r="IP163" s="465"/>
      <c r="IQ163" s="465"/>
      <c r="IR163" s="465"/>
    </row>
    <row r="164" spans="1:252" s="466" customFormat="1">
      <c r="A164" s="325" t="s">
        <v>987</v>
      </c>
      <c r="B164" s="194">
        <f>0.31*12*B152*1.5</f>
        <v>14308.235999999997</v>
      </c>
      <c r="C164" s="465"/>
      <c r="D164" s="465"/>
      <c r="E164" s="465"/>
      <c r="F164" s="465"/>
      <c r="G164" s="465"/>
      <c r="H164" s="465"/>
      <c r="I164" s="465"/>
      <c r="J164" s="465"/>
      <c r="K164" s="465"/>
      <c r="L164" s="465"/>
      <c r="M164" s="465"/>
      <c r="N164" s="465"/>
      <c r="O164" s="465"/>
      <c r="P164" s="465"/>
      <c r="Q164" s="465"/>
      <c r="R164" s="465"/>
      <c r="S164" s="465"/>
      <c r="T164" s="465"/>
      <c r="U164" s="465"/>
      <c r="V164" s="465"/>
      <c r="W164" s="465"/>
      <c r="X164" s="465"/>
      <c r="Y164" s="465"/>
      <c r="Z164" s="465"/>
      <c r="AA164" s="465"/>
      <c r="AB164" s="465"/>
      <c r="AC164" s="465"/>
      <c r="AD164" s="465"/>
      <c r="AE164" s="465"/>
      <c r="AF164" s="465"/>
      <c r="AG164" s="465"/>
      <c r="AH164" s="465"/>
      <c r="AI164" s="465"/>
      <c r="AJ164" s="465"/>
      <c r="AK164" s="465"/>
      <c r="AL164" s="465"/>
      <c r="AM164" s="465"/>
      <c r="AN164" s="465"/>
      <c r="AO164" s="465"/>
      <c r="AP164" s="465"/>
      <c r="AQ164" s="465"/>
      <c r="AR164" s="465"/>
      <c r="AS164" s="465"/>
      <c r="AT164" s="465"/>
      <c r="AU164" s="465"/>
      <c r="AV164" s="465"/>
      <c r="AW164" s="465"/>
      <c r="AX164" s="465"/>
      <c r="AY164" s="465"/>
      <c r="AZ164" s="465"/>
      <c r="BA164" s="465"/>
      <c r="BB164" s="465"/>
      <c r="BC164" s="465"/>
      <c r="BD164" s="465"/>
      <c r="BE164" s="465"/>
      <c r="BF164" s="465"/>
      <c r="BG164" s="465"/>
      <c r="BH164" s="465"/>
      <c r="BI164" s="465"/>
      <c r="BJ164" s="465"/>
      <c r="BK164" s="465"/>
      <c r="BL164" s="465"/>
      <c r="BM164" s="465"/>
      <c r="BN164" s="465"/>
      <c r="BO164" s="465"/>
      <c r="BP164" s="465"/>
      <c r="BQ164" s="465"/>
      <c r="BR164" s="465"/>
      <c r="BS164" s="465"/>
      <c r="BT164" s="465"/>
      <c r="BU164" s="465"/>
      <c r="BV164" s="465"/>
      <c r="BW164" s="465"/>
      <c r="BX164" s="465"/>
      <c r="BY164" s="465"/>
      <c r="BZ164" s="465"/>
      <c r="CA164" s="465"/>
      <c r="CB164" s="465"/>
      <c r="CC164" s="465"/>
      <c r="CD164" s="465"/>
      <c r="CE164" s="465"/>
      <c r="CF164" s="465"/>
      <c r="CG164" s="465"/>
      <c r="CH164" s="465"/>
      <c r="CI164" s="465"/>
      <c r="CJ164" s="465"/>
      <c r="CK164" s="465"/>
      <c r="CL164" s="465"/>
      <c r="CM164" s="465"/>
      <c r="CN164" s="465"/>
      <c r="CO164" s="465"/>
      <c r="CP164" s="465"/>
      <c r="CQ164" s="465"/>
      <c r="CR164" s="465"/>
      <c r="CS164" s="465"/>
      <c r="CT164" s="465"/>
      <c r="CU164" s="465"/>
      <c r="CV164" s="465"/>
      <c r="CW164" s="465"/>
      <c r="CX164" s="465"/>
      <c r="CY164" s="465"/>
      <c r="CZ164" s="465"/>
      <c r="DA164" s="465"/>
      <c r="DB164" s="465"/>
      <c r="DC164" s="465"/>
      <c r="DD164" s="465"/>
      <c r="DE164" s="465"/>
      <c r="DF164" s="465"/>
      <c r="DG164" s="465"/>
      <c r="DH164" s="465"/>
      <c r="DI164" s="465"/>
      <c r="DJ164" s="465"/>
      <c r="DK164" s="465"/>
      <c r="DL164" s="465"/>
      <c r="DM164" s="465"/>
      <c r="DN164" s="465"/>
      <c r="DO164" s="465"/>
      <c r="DP164" s="465"/>
      <c r="DQ164" s="465"/>
      <c r="DR164" s="465"/>
      <c r="DS164" s="465"/>
      <c r="DT164" s="465"/>
      <c r="DU164" s="465"/>
      <c r="DV164" s="465"/>
      <c r="DW164" s="465"/>
      <c r="DX164" s="465"/>
      <c r="DY164" s="465"/>
      <c r="DZ164" s="465"/>
      <c r="EA164" s="465"/>
      <c r="EB164" s="465"/>
      <c r="EC164" s="465"/>
      <c r="ED164" s="465"/>
      <c r="EE164" s="465"/>
      <c r="EF164" s="465"/>
      <c r="EG164" s="465"/>
      <c r="EH164" s="465"/>
      <c r="EI164" s="465"/>
      <c r="EJ164" s="465"/>
      <c r="EK164" s="465"/>
      <c r="EL164" s="465"/>
      <c r="EM164" s="465"/>
      <c r="EN164" s="465"/>
      <c r="EO164" s="465"/>
      <c r="EP164" s="465"/>
      <c r="EQ164" s="465"/>
      <c r="ER164" s="465"/>
      <c r="ES164" s="465"/>
      <c r="ET164" s="465"/>
      <c r="EU164" s="465"/>
      <c r="EV164" s="465"/>
      <c r="EW164" s="465"/>
      <c r="EX164" s="465"/>
      <c r="EY164" s="465"/>
      <c r="EZ164" s="465"/>
      <c r="FA164" s="465"/>
      <c r="FB164" s="465"/>
      <c r="FC164" s="465"/>
      <c r="FD164" s="465"/>
      <c r="FE164" s="465"/>
      <c r="FF164" s="465"/>
      <c r="FG164" s="465"/>
      <c r="FH164" s="465"/>
      <c r="FI164" s="465"/>
      <c r="FJ164" s="465"/>
      <c r="FK164" s="465"/>
      <c r="FL164" s="465"/>
      <c r="FM164" s="465"/>
      <c r="FN164" s="465"/>
      <c r="FO164" s="465"/>
      <c r="FP164" s="465"/>
      <c r="FQ164" s="465"/>
      <c r="FR164" s="465"/>
      <c r="FS164" s="465"/>
      <c r="FT164" s="465"/>
      <c r="FU164" s="465"/>
      <c r="FV164" s="465"/>
      <c r="FW164" s="465"/>
      <c r="FX164" s="465"/>
      <c r="FY164" s="465"/>
      <c r="FZ164" s="465"/>
      <c r="GA164" s="465"/>
      <c r="GB164" s="465"/>
      <c r="GC164" s="465"/>
      <c r="GD164" s="465"/>
      <c r="GE164" s="465"/>
      <c r="GF164" s="465"/>
      <c r="GG164" s="465"/>
      <c r="GH164" s="465"/>
      <c r="GI164" s="465"/>
      <c r="GJ164" s="465"/>
      <c r="GK164" s="465"/>
      <c r="GL164" s="465"/>
      <c r="GM164" s="465"/>
      <c r="GN164" s="465"/>
      <c r="GO164" s="465"/>
      <c r="GP164" s="465"/>
      <c r="GQ164" s="465"/>
      <c r="GR164" s="465"/>
      <c r="GS164" s="465"/>
      <c r="GT164" s="465"/>
      <c r="GU164" s="465"/>
      <c r="GV164" s="465"/>
      <c r="GW164" s="465"/>
      <c r="GX164" s="465"/>
      <c r="GY164" s="465"/>
      <c r="GZ164" s="465"/>
      <c r="HA164" s="465"/>
      <c r="HB164" s="465"/>
      <c r="HC164" s="465"/>
      <c r="HD164" s="465"/>
      <c r="HE164" s="465"/>
      <c r="HF164" s="465"/>
      <c r="HG164" s="465"/>
      <c r="HH164" s="465"/>
      <c r="HI164" s="465"/>
      <c r="HJ164" s="465"/>
      <c r="HK164" s="465"/>
      <c r="HL164" s="465"/>
      <c r="HM164" s="465"/>
      <c r="HN164" s="465"/>
      <c r="HO164" s="465"/>
      <c r="HP164" s="465"/>
      <c r="HQ164" s="465"/>
      <c r="HR164" s="465"/>
      <c r="HS164" s="465"/>
      <c r="HT164" s="465"/>
      <c r="HU164" s="465"/>
      <c r="HV164" s="465"/>
      <c r="HW164" s="465"/>
      <c r="HX164" s="465"/>
      <c r="HY164" s="465"/>
      <c r="HZ164" s="465"/>
      <c r="IA164" s="465"/>
      <c r="IB164" s="465"/>
      <c r="IC164" s="465"/>
      <c r="ID164" s="465"/>
      <c r="IE164" s="465"/>
      <c r="IF164" s="465"/>
      <c r="IG164" s="465"/>
      <c r="IH164" s="465"/>
      <c r="II164" s="465"/>
      <c r="IJ164" s="465"/>
      <c r="IK164" s="465"/>
      <c r="IL164" s="465"/>
      <c r="IM164" s="465"/>
      <c r="IN164" s="465"/>
      <c r="IO164" s="465"/>
      <c r="IP164" s="465"/>
      <c r="IQ164" s="465"/>
      <c r="IR164" s="465"/>
    </row>
    <row r="165" spans="1:252" s="466" customFormat="1">
      <c r="A165" s="325" t="s">
        <v>520</v>
      </c>
      <c r="B165" s="194">
        <f>0.89*12*B152*1.5</f>
        <v>41078.483999999997</v>
      </c>
      <c r="C165" s="465"/>
      <c r="D165" s="465"/>
      <c r="E165" s="465"/>
      <c r="F165" s="465"/>
      <c r="G165" s="465"/>
      <c r="H165" s="465"/>
      <c r="I165" s="465"/>
      <c r="J165" s="465"/>
      <c r="K165" s="465"/>
      <c r="L165" s="465"/>
      <c r="M165" s="465"/>
      <c r="N165" s="465"/>
      <c r="O165" s="465"/>
      <c r="P165" s="465"/>
      <c r="Q165" s="465"/>
      <c r="R165" s="465"/>
      <c r="S165" s="465"/>
      <c r="T165" s="465"/>
      <c r="U165" s="465"/>
      <c r="V165" s="465"/>
      <c r="W165" s="465"/>
      <c r="X165" s="465"/>
      <c r="Y165" s="465"/>
      <c r="Z165" s="465"/>
      <c r="AA165" s="465"/>
      <c r="AB165" s="465"/>
      <c r="AC165" s="465"/>
      <c r="AD165" s="465"/>
      <c r="AE165" s="465"/>
      <c r="AF165" s="465"/>
      <c r="AG165" s="465"/>
      <c r="AH165" s="465"/>
      <c r="AI165" s="465"/>
      <c r="AJ165" s="465"/>
      <c r="AK165" s="465"/>
      <c r="AL165" s="465"/>
      <c r="AM165" s="465"/>
      <c r="AN165" s="465"/>
      <c r="AO165" s="465"/>
      <c r="AP165" s="465"/>
      <c r="AQ165" s="465"/>
      <c r="AR165" s="465"/>
      <c r="AS165" s="465"/>
      <c r="AT165" s="465"/>
      <c r="AU165" s="465"/>
      <c r="AV165" s="465"/>
      <c r="AW165" s="465"/>
      <c r="AX165" s="465"/>
      <c r="AY165" s="465"/>
      <c r="AZ165" s="465"/>
      <c r="BA165" s="465"/>
      <c r="BB165" s="465"/>
      <c r="BC165" s="465"/>
      <c r="BD165" s="465"/>
      <c r="BE165" s="465"/>
      <c r="BF165" s="465"/>
      <c r="BG165" s="465"/>
      <c r="BH165" s="465"/>
      <c r="BI165" s="465"/>
      <c r="BJ165" s="465"/>
      <c r="BK165" s="465"/>
      <c r="BL165" s="465"/>
      <c r="BM165" s="465"/>
      <c r="BN165" s="465"/>
      <c r="BO165" s="465"/>
      <c r="BP165" s="465"/>
      <c r="BQ165" s="465"/>
      <c r="BR165" s="465"/>
      <c r="BS165" s="465"/>
      <c r="BT165" s="465"/>
      <c r="BU165" s="465"/>
      <c r="BV165" s="465"/>
      <c r="BW165" s="465"/>
      <c r="BX165" s="465"/>
      <c r="BY165" s="465"/>
      <c r="BZ165" s="465"/>
      <c r="CA165" s="465"/>
      <c r="CB165" s="465"/>
      <c r="CC165" s="465"/>
      <c r="CD165" s="465"/>
      <c r="CE165" s="465"/>
      <c r="CF165" s="465"/>
      <c r="CG165" s="465"/>
      <c r="CH165" s="465"/>
      <c r="CI165" s="465"/>
      <c r="CJ165" s="465"/>
      <c r="CK165" s="465"/>
      <c r="CL165" s="465"/>
      <c r="CM165" s="465"/>
      <c r="CN165" s="465"/>
      <c r="CO165" s="465"/>
      <c r="CP165" s="465"/>
      <c r="CQ165" s="465"/>
      <c r="CR165" s="465"/>
      <c r="CS165" s="465"/>
      <c r="CT165" s="465"/>
      <c r="CU165" s="465"/>
      <c r="CV165" s="465"/>
      <c r="CW165" s="465"/>
      <c r="CX165" s="465"/>
      <c r="CY165" s="465"/>
      <c r="CZ165" s="465"/>
      <c r="DA165" s="465"/>
      <c r="DB165" s="465"/>
      <c r="DC165" s="465"/>
      <c r="DD165" s="465"/>
      <c r="DE165" s="465"/>
      <c r="DF165" s="465"/>
      <c r="DG165" s="465"/>
      <c r="DH165" s="465"/>
      <c r="DI165" s="465"/>
      <c r="DJ165" s="465"/>
      <c r="DK165" s="465"/>
      <c r="DL165" s="465"/>
      <c r="DM165" s="465"/>
      <c r="DN165" s="465"/>
      <c r="DO165" s="465"/>
      <c r="DP165" s="465"/>
      <c r="DQ165" s="465"/>
      <c r="DR165" s="465"/>
      <c r="DS165" s="465"/>
      <c r="DT165" s="465"/>
      <c r="DU165" s="465"/>
      <c r="DV165" s="465"/>
      <c r="DW165" s="465"/>
      <c r="DX165" s="465"/>
      <c r="DY165" s="465"/>
      <c r="DZ165" s="465"/>
      <c r="EA165" s="465"/>
      <c r="EB165" s="465"/>
      <c r="EC165" s="465"/>
      <c r="ED165" s="465"/>
      <c r="EE165" s="465"/>
      <c r="EF165" s="465"/>
      <c r="EG165" s="465"/>
      <c r="EH165" s="465"/>
      <c r="EI165" s="465"/>
      <c r="EJ165" s="465"/>
      <c r="EK165" s="465"/>
      <c r="EL165" s="465"/>
      <c r="EM165" s="465"/>
      <c r="EN165" s="465"/>
      <c r="EO165" s="465"/>
      <c r="EP165" s="465"/>
      <c r="EQ165" s="465"/>
      <c r="ER165" s="465"/>
      <c r="ES165" s="465"/>
      <c r="ET165" s="465"/>
      <c r="EU165" s="465"/>
      <c r="EV165" s="465"/>
      <c r="EW165" s="465"/>
      <c r="EX165" s="465"/>
      <c r="EY165" s="465"/>
      <c r="EZ165" s="465"/>
      <c r="FA165" s="465"/>
      <c r="FB165" s="465"/>
      <c r="FC165" s="465"/>
      <c r="FD165" s="465"/>
      <c r="FE165" s="465"/>
      <c r="FF165" s="465"/>
      <c r="FG165" s="465"/>
      <c r="FH165" s="465"/>
      <c r="FI165" s="465"/>
      <c r="FJ165" s="465"/>
      <c r="FK165" s="465"/>
      <c r="FL165" s="465"/>
      <c r="FM165" s="465"/>
      <c r="FN165" s="465"/>
      <c r="FO165" s="465"/>
      <c r="FP165" s="465"/>
      <c r="FQ165" s="465"/>
      <c r="FR165" s="465"/>
      <c r="FS165" s="465"/>
      <c r="FT165" s="465"/>
      <c r="FU165" s="465"/>
      <c r="FV165" s="465"/>
      <c r="FW165" s="465"/>
      <c r="FX165" s="465"/>
      <c r="FY165" s="465"/>
      <c r="FZ165" s="465"/>
      <c r="GA165" s="465"/>
      <c r="GB165" s="465"/>
      <c r="GC165" s="465"/>
      <c r="GD165" s="465"/>
      <c r="GE165" s="465"/>
      <c r="GF165" s="465"/>
      <c r="GG165" s="465"/>
      <c r="GH165" s="465"/>
      <c r="GI165" s="465"/>
      <c r="GJ165" s="465"/>
      <c r="GK165" s="465"/>
      <c r="GL165" s="465"/>
      <c r="GM165" s="465"/>
      <c r="GN165" s="465"/>
      <c r="GO165" s="465"/>
      <c r="GP165" s="465"/>
      <c r="GQ165" s="465"/>
      <c r="GR165" s="465"/>
      <c r="GS165" s="465"/>
      <c r="GT165" s="465"/>
      <c r="GU165" s="465"/>
      <c r="GV165" s="465"/>
      <c r="GW165" s="465"/>
      <c r="GX165" s="465"/>
      <c r="GY165" s="465"/>
      <c r="GZ165" s="465"/>
      <c r="HA165" s="465"/>
      <c r="HB165" s="465"/>
      <c r="HC165" s="465"/>
      <c r="HD165" s="465"/>
      <c r="HE165" s="465"/>
      <c r="HF165" s="465"/>
      <c r="HG165" s="465"/>
      <c r="HH165" s="465"/>
      <c r="HI165" s="465"/>
      <c r="HJ165" s="465"/>
      <c r="HK165" s="465"/>
      <c r="HL165" s="465"/>
      <c r="HM165" s="465"/>
      <c r="HN165" s="465"/>
      <c r="HO165" s="465"/>
      <c r="HP165" s="465"/>
      <c r="HQ165" s="465"/>
      <c r="HR165" s="465"/>
      <c r="HS165" s="465"/>
      <c r="HT165" s="465"/>
      <c r="HU165" s="465"/>
      <c r="HV165" s="465"/>
      <c r="HW165" s="465"/>
      <c r="HX165" s="465"/>
      <c r="HY165" s="465"/>
      <c r="HZ165" s="465"/>
      <c r="IA165" s="465"/>
      <c r="IB165" s="465"/>
      <c r="IC165" s="465"/>
      <c r="ID165" s="465"/>
      <c r="IE165" s="465"/>
      <c r="IF165" s="465"/>
      <c r="IG165" s="465"/>
      <c r="IH165" s="465"/>
      <c r="II165" s="465"/>
      <c r="IJ165" s="465"/>
      <c r="IK165" s="465"/>
      <c r="IL165" s="465"/>
      <c r="IM165" s="465"/>
      <c r="IN165" s="465"/>
      <c r="IO165" s="465"/>
      <c r="IP165" s="465"/>
      <c r="IQ165" s="465"/>
      <c r="IR165" s="465"/>
    </row>
    <row r="166" spans="1:252">
      <c r="A166" s="325" t="s">
        <v>2027</v>
      </c>
      <c r="B166" s="194">
        <f>9915*1.5</f>
        <v>14872.5</v>
      </c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  <c r="AN166" s="179"/>
      <c r="AO166" s="179"/>
      <c r="AP166" s="179"/>
      <c r="AQ166" s="179"/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  <c r="BD166" s="179"/>
      <c r="BE166" s="179"/>
      <c r="BF166" s="179"/>
      <c r="BG166" s="179"/>
      <c r="BH166" s="179"/>
      <c r="BI166" s="179"/>
      <c r="BJ166" s="179"/>
      <c r="BK166" s="179"/>
      <c r="BL166" s="179"/>
      <c r="BM166" s="179"/>
      <c r="BN166" s="179"/>
      <c r="BO166" s="179"/>
      <c r="BP166" s="179"/>
      <c r="BQ166" s="179"/>
      <c r="BR166" s="179"/>
      <c r="BS166" s="179"/>
      <c r="BT166" s="179"/>
      <c r="BU166" s="179"/>
      <c r="BV166" s="179"/>
      <c r="BW166" s="179"/>
      <c r="BX166" s="179"/>
      <c r="BY166" s="179"/>
      <c r="BZ166" s="179"/>
      <c r="CA166" s="179"/>
      <c r="CB166" s="179"/>
      <c r="CC166" s="179"/>
      <c r="CD166" s="179"/>
      <c r="CE166" s="179"/>
      <c r="CF166" s="179"/>
      <c r="CG166" s="179"/>
      <c r="CH166" s="179"/>
      <c r="CI166" s="179"/>
      <c r="CJ166" s="179"/>
      <c r="CK166" s="179"/>
      <c r="CL166" s="179"/>
      <c r="CM166" s="179"/>
      <c r="CN166" s="179"/>
      <c r="CO166" s="179"/>
      <c r="CP166" s="179"/>
      <c r="CQ166" s="179"/>
      <c r="CR166" s="179"/>
      <c r="CS166" s="179"/>
      <c r="CT166" s="179"/>
      <c r="CU166" s="179"/>
      <c r="CV166" s="179"/>
      <c r="CW166" s="179"/>
      <c r="CX166" s="179"/>
      <c r="CY166" s="179"/>
      <c r="CZ166" s="179"/>
      <c r="DA166" s="179"/>
      <c r="DB166" s="179"/>
      <c r="DC166" s="179"/>
      <c r="DD166" s="179"/>
      <c r="DE166" s="179"/>
      <c r="DF166" s="179"/>
      <c r="DG166" s="179"/>
      <c r="DH166" s="179"/>
      <c r="DI166" s="179"/>
      <c r="DJ166" s="179"/>
      <c r="DK166" s="179"/>
      <c r="DL166" s="179"/>
      <c r="DM166" s="179"/>
      <c r="DN166" s="179"/>
      <c r="DO166" s="179"/>
      <c r="DP166" s="179"/>
      <c r="DQ166" s="179"/>
      <c r="DR166" s="179"/>
      <c r="DS166" s="179"/>
      <c r="DT166" s="179"/>
      <c r="DU166" s="179"/>
      <c r="DV166" s="179"/>
      <c r="DW166" s="179"/>
      <c r="DX166" s="179"/>
      <c r="DY166" s="179"/>
      <c r="DZ166" s="179"/>
      <c r="EA166" s="179"/>
      <c r="EB166" s="179"/>
      <c r="EC166" s="179"/>
      <c r="ED166" s="179"/>
      <c r="EE166" s="179"/>
      <c r="EF166" s="179"/>
      <c r="EG166" s="179"/>
      <c r="EH166" s="179"/>
      <c r="EI166" s="179"/>
      <c r="EJ166" s="179"/>
      <c r="EK166" s="179"/>
      <c r="EL166" s="179"/>
      <c r="EM166" s="179"/>
      <c r="EN166" s="179"/>
      <c r="EO166" s="179"/>
      <c r="EP166" s="179"/>
      <c r="EQ166" s="179"/>
      <c r="ER166" s="179"/>
      <c r="ES166" s="179"/>
      <c r="ET166" s="179"/>
      <c r="EU166" s="179"/>
      <c r="EV166" s="179"/>
      <c r="EW166" s="179"/>
      <c r="EX166" s="179"/>
      <c r="EY166" s="179"/>
      <c r="EZ166" s="179"/>
      <c r="FA166" s="179"/>
      <c r="FB166" s="179"/>
      <c r="FC166" s="179"/>
      <c r="FD166" s="179"/>
      <c r="FE166" s="179"/>
      <c r="FF166" s="179"/>
      <c r="FG166" s="179"/>
      <c r="FH166" s="179"/>
      <c r="FI166" s="179"/>
      <c r="FJ166" s="179"/>
      <c r="FK166" s="179"/>
      <c r="FL166" s="179"/>
      <c r="FM166" s="179"/>
      <c r="FN166" s="179"/>
      <c r="FO166" s="179"/>
      <c r="FP166" s="179"/>
      <c r="FQ166" s="179"/>
      <c r="FR166" s="179"/>
      <c r="FS166" s="179"/>
      <c r="FT166" s="179"/>
      <c r="FU166" s="179"/>
      <c r="FV166" s="179"/>
      <c r="FW166" s="179"/>
      <c r="FX166" s="179"/>
      <c r="FY166" s="179"/>
      <c r="FZ166" s="179"/>
      <c r="GA166" s="179"/>
      <c r="GB166" s="179"/>
      <c r="GC166" s="179"/>
      <c r="GD166" s="179"/>
      <c r="GE166" s="179"/>
      <c r="GF166" s="179"/>
      <c r="GG166" s="179"/>
      <c r="GH166" s="179"/>
      <c r="GI166" s="179"/>
      <c r="GJ166" s="179"/>
      <c r="GK166" s="179"/>
      <c r="GL166" s="179"/>
      <c r="GM166" s="179"/>
      <c r="GN166" s="179"/>
      <c r="GO166" s="179"/>
      <c r="GP166" s="179"/>
      <c r="GQ166" s="179"/>
      <c r="GR166" s="179"/>
      <c r="GS166" s="179"/>
      <c r="GT166" s="179"/>
      <c r="GU166" s="179"/>
      <c r="GV166" s="179"/>
      <c r="GW166" s="179"/>
      <c r="GX166" s="179"/>
      <c r="GY166" s="179"/>
      <c r="GZ166" s="179"/>
      <c r="HA166" s="179"/>
      <c r="HB166" s="179"/>
      <c r="HC166" s="179"/>
      <c r="HD166" s="179"/>
      <c r="HE166" s="179"/>
      <c r="HF166" s="179"/>
      <c r="HG166" s="179"/>
      <c r="HH166" s="179"/>
      <c r="HI166" s="179"/>
      <c r="HJ166" s="179"/>
      <c r="HK166" s="179"/>
      <c r="HL166" s="179"/>
      <c r="HM166" s="179"/>
      <c r="HN166" s="179"/>
      <c r="HO166" s="179"/>
      <c r="HP166" s="179"/>
      <c r="HQ166" s="179"/>
      <c r="HR166" s="179"/>
      <c r="HS166" s="179"/>
      <c r="HT166" s="179"/>
      <c r="HU166" s="179"/>
      <c r="HV166" s="179"/>
      <c r="HW166" s="179"/>
      <c r="HX166" s="179"/>
      <c r="HY166" s="179"/>
      <c r="HZ166" s="179"/>
      <c r="IA166" s="179"/>
      <c r="IB166" s="179"/>
      <c r="IC166" s="179"/>
      <c r="ID166" s="179"/>
      <c r="IE166" s="179"/>
      <c r="IF166" s="179"/>
      <c r="IG166" s="179"/>
      <c r="IH166" s="179"/>
      <c r="II166" s="179"/>
      <c r="IJ166" s="179"/>
      <c r="IK166" s="179"/>
      <c r="IL166" s="179"/>
      <c r="IM166" s="179"/>
      <c r="IN166" s="179"/>
      <c r="IO166" s="179"/>
      <c r="IP166" s="179"/>
      <c r="IQ166" s="179"/>
      <c r="IR166" s="179"/>
    </row>
    <row r="167" spans="1:252" s="466" customFormat="1">
      <c r="A167" s="325" t="s">
        <v>601</v>
      </c>
      <c r="B167" s="194">
        <f>0.9*9100*13*1.302*1.5</f>
        <v>207935.91</v>
      </c>
      <c r="C167" s="465"/>
      <c r="D167" s="465"/>
      <c r="E167" s="465"/>
      <c r="F167" s="465"/>
      <c r="G167" s="465"/>
      <c r="H167" s="465"/>
      <c r="I167" s="465"/>
      <c r="J167" s="465"/>
      <c r="K167" s="465"/>
      <c r="L167" s="465"/>
      <c r="M167" s="465"/>
      <c r="N167" s="465"/>
      <c r="O167" s="465"/>
      <c r="P167" s="465"/>
      <c r="Q167" s="465"/>
      <c r="R167" s="465"/>
      <c r="S167" s="465"/>
      <c r="T167" s="465"/>
      <c r="U167" s="465"/>
      <c r="V167" s="465"/>
      <c r="W167" s="465"/>
      <c r="X167" s="465"/>
      <c r="Y167" s="465"/>
      <c r="Z167" s="465"/>
      <c r="AA167" s="465"/>
      <c r="AB167" s="465"/>
      <c r="AC167" s="465"/>
      <c r="AD167" s="465"/>
      <c r="AE167" s="465"/>
      <c r="AF167" s="465"/>
      <c r="AG167" s="465"/>
      <c r="AH167" s="465"/>
      <c r="AI167" s="465"/>
      <c r="AJ167" s="465"/>
      <c r="AK167" s="465"/>
      <c r="AL167" s="465"/>
      <c r="AM167" s="465"/>
      <c r="AN167" s="465"/>
      <c r="AO167" s="465"/>
      <c r="AP167" s="465"/>
      <c r="AQ167" s="465"/>
      <c r="AR167" s="465"/>
      <c r="AS167" s="465"/>
      <c r="AT167" s="465"/>
      <c r="AU167" s="465"/>
      <c r="AV167" s="465"/>
      <c r="AW167" s="465"/>
      <c r="AX167" s="465"/>
      <c r="AY167" s="465"/>
      <c r="AZ167" s="465"/>
      <c r="BA167" s="465"/>
      <c r="BB167" s="465"/>
      <c r="BC167" s="465"/>
      <c r="BD167" s="465"/>
      <c r="BE167" s="465"/>
      <c r="BF167" s="465"/>
      <c r="BG167" s="465"/>
      <c r="BH167" s="465"/>
      <c r="BI167" s="465"/>
      <c r="BJ167" s="465"/>
      <c r="BK167" s="465"/>
      <c r="BL167" s="465"/>
      <c r="BM167" s="465"/>
      <c r="BN167" s="465"/>
      <c r="BO167" s="465"/>
      <c r="BP167" s="465"/>
      <c r="BQ167" s="465"/>
      <c r="BR167" s="465"/>
      <c r="BS167" s="465"/>
      <c r="BT167" s="465"/>
      <c r="BU167" s="465"/>
      <c r="BV167" s="465"/>
      <c r="BW167" s="465"/>
      <c r="BX167" s="465"/>
      <c r="BY167" s="465"/>
      <c r="BZ167" s="465"/>
      <c r="CA167" s="465"/>
      <c r="CB167" s="465"/>
      <c r="CC167" s="465"/>
      <c r="CD167" s="465"/>
      <c r="CE167" s="465"/>
      <c r="CF167" s="465"/>
      <c r="CG167" s="465"/>
      <c r="CH167" s="465"/>
      <c r="CI167" s="465"/>
      <c r="CJ167" s="465"/>
      <c r="CK167" s="465"/>
      <c r="CL167" s="465"/>
      <c r="CM167" s="465"/>
      <c r="CN167" s="465"/>
      <c r="CO167" s="465"/>
      <c r="CP167" s="465"/>
      <c r="CQ167" s="465"/>
      <c r="CR167" s="465"/>
      <c r="CS167" s="465"/>
      <c r="CT167" s="465"/>
      <c r="CU167" s="465"/>
      <c r="CV167" s="465"/>
      <c r="CW167" s="465"/>
      <c r="CX167" s="465"/>
      <c r="CY167" s="465"/>
      <c r="CZ167" s="465"/>
      <c r="DA167" s="465"/>
      <c r="DB167" s="465"/>
      <c r="DC167" s="465"/>
      <c r="DD167" s="465"/>
      <c r="DE167" s="465"/>
      <c r="DF167" s="465"/>
      <c r="DG167" s="465"/>
      <c r="DH167" s="465"/>
      <c r="DI167" s="465"/>
      <c r="DJ167" s="465"/>
      <c r="DK167" s="465"/>
      <c r="DL167" s="465"/>
      <c r="DM167" s="465"/>
      <c r="DN167" s="465"/>
      <c r="DO167" s="465"/>
      <c r="DP167" s="465"/>
      <c r="DQ167" s="465"/>
      <c r="DR167" s="465"/>
      <c r="DS167" s="465"/>
      <c r="DT167" s="465"/>
      <c r="DU167" s="465"/>
      <c r="DV167" s="465"/>
      <c r="DW167" s="465"/>
      <c r="DX167" s="465"/>
      <c r="DY167" s="465"/>
      <c r="DZ167" s="465"/>
      <c r="EA167" s="465"/>
      <c r="EB167" s="465"/>
      <c r="EC167" s="465"/>
      <c r="ED167" s="465"/>
      <c r="EE167" s="465"/>
      <c r="EF167" s="465"/>
      <c r="EG167" s="465"/>
      <c r="EH167" s="465"/>
      <c r="EI167" s="465"/>
      <c r="EJ167" s="465"/>
      <c r="EK167" s="465"/>
      <c r="EL167" s="465"/>
      <c r="EM167" s="465"/>
      <c r="EN167" s="465"/>
      <c r="EO167" s="465"/>
      <c r="EP167" s="465"/>
      <c r="EQ167" s="465"/>
      <c r="ER167" s="465"/>
      <c r="ES167" s="465"/>
      <c r="ET167" s="465"/>
      <c r="EU167" s="465"/>
      <c r="EV167" s="465"/>
      <c r="EW167" s="465"/>
      <c r="EX167" s="465"/>
      <c r="EY167" s="465"/>
      <c r="EZ167" s="465"/>
      <c r="FA167" s="465"/>
      <c r="FB167" s="465"/>
      <c r="FC167" s="465"/>
      <c r="FD167" s="465"/>
      <c r="FE167" s="465"/>
      <c r="FF167" s="465"/>
      <c r="FG167" s="465"/>
      <c r="FH167" s="465"/>
      <c r="FI167" s="465"/>
      <c r="FJ167" s="465"/>
      <c r="FK167" s="465"/>
      <c r="FL167" s="465"/>
      <c r="FM167" s="465"/>
      <c r="FN167" s="465"/>
      <c r="FO167" s="465"/>
      <c r="FP167" s="465"/>
      <c r="FQ167" s="465"/>
      <c r="FR167" s="465"/>
      <c r="FS167" s="465"/>
      <c r="FT167" s="465"/>
      <c r="FU167" s="465"/>
      <c r="FV167" s="465"/>
      <c r="FW167" s="465"/>
      <c r="FX167" s="465"/>
      <c r="FY167" s="465"/>
      <c r="FZ167" s="465"/>
      <c r="GA167" s="465"/>
      <c r="GB167" s="465"/>
      <c r="GC167" s="465"/>
      <c r="GD167" s="465"/>
      <c r="GE167" s="465"/>
      <c r="GF167" s="465"/>
      <c r="GG167" s="465"/>
      <c r="GH167" s="465"/>
      <c r="GI167" s="465"/>
      <c r="GJ167" s="465"/>
      <c r="GK167" s="465"/>
      <c r="GL167" s="465"/>
      <c r="GM167" s="465"/>
      <c r="GN167" s="465"/>
      <c r="GO167" s="465"/>
      <c r="GP167" s="465"/>
      <c r="GQ167" s="465"/>
      <c r="GR167" s="465"/>
      <c r="GS167" s="465"/>
      <c r="GT167" s="465"/>
      <c r="GU167" s="465"/>
      <c r="GV167" s="465"/>
      <c r="GW167" s="465"/>
      <c r="GX167" s="465"/>
      <c r="GY167" s="465"/>
      <c r="GZ167" s="465"/>
      <c r="HA167" s="465"/>
      <c r="HB167" s="465"/>
      <c r="HC167" s="465"/>
      <c r="HD167" s="465"/>
      <c r="HE167" s="465"/>
      <c r="HF167" s="465"/>
      <c r="HG167" s="465"/>
      <c r="HH167" s="465"/>
      <c r="HI167" s="465"/>
      <c r="HJ167" s="465"/>
      <c r="HK167" s="465"/>
      <c r="HL167" s="465"/>
      <c r="HM167" s="465"/>
      <c r="HN167" s="465"/>
      <c r="HO167" s="465"/>
      <c r="HP167" s="465"/>
      <c r="HQ167" s="465"/>
      <c r="HR167" s="465"/>
      <c r="HS167" s="465"/>
      <c r="HT167" s="465"/>
      <c r="HU167" s="465"/>
      <c r="HV167" s="465"/>
      <c r="HW167" s="465"/>
      <c r="HX167" s="465"/>
      <c r="HY167" s="465"/>
      <c r="HZ167" s="465"/>
      <c r="IA167" s="465"/>
      <c r="IB167" s="465"/>
      <c r="IC167" s="465"/>
      <c r="ID167" s="465"/>
      <c r="IE167" s="465"/>
      <c r="IF167" s="465"/>
      <c r="IG167" s="465"/>
      <c r="IH167" s="465"/>
      <c r="II167" s="465"/>
      <c r="IJ167" s="465"/>
      <c r="IK167" s="465"/>
      <c r="IL167" s="465"/>
      <c r="IM167" s="465"/>
      <c r="IN167" s="465"/>
      <c r="IO167" s="465"/>
      <c r="IP167" s="465"/>
      <c r="IQ167" s="465"/>
      <c r="IR167" s="465"/>
    </row>
    <row r="168" spans="1:252">
      <c r="A168" s="325" t="s">
        <v>602</v>
      </c>
      <c r="B168" s="194">
        <f>B146</f>
        <v>301.5</v>
      </c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79"/>
      <c r="AT168" s="179"/>
      <c r="AU168" s="179"/>
      <c r="AV168" s="179"/>
      <c r="AW168" s="179"/>
      <c r="AX168" s="179"/>
      <c r="AY168" s="179"/>
      <c r="AZ168" s="179"/>
      <c r="BA168" s="179"/>
      <c r="BB168" s="179"/>
      <c r="BC168" s="179"/>
      <c r="BD168" s="179"/>
      <c r="BE168" s="179"/>
      <c r="BF168" s="179"/>
      <c r="BG168" s="179"/>
      <c r="BH168" s="179"/>
      <c r="BI168" s="179"/>
      <c r="BJ168" s="179"/>
      <c r="BK168" s="179"/>
      <c r="BL168" s="179"/>
      <c r="BM168" s="179"/>
      <c r="BN168" s="179"/>
      <c r="BO168" s="179"/>
      <c r="BP168" s="179"/>
      <c r="BQ168" s="179"/>
      <c r="BR168" s="179"/>
      <c r="BS168" s="179"/>
      <c r="BT168" s="179"/>
      <c r="BU168" s="179"/>
      <c r="BV168" s="179"/>
      <c r="BW168" s="179"/>
      <c r="BX168" s="179"/>
      <c r="BY168" s="179"/>
      <c r="BZ168" s="179"/>
      <c r="CA168" s="179"/>
      <c r="CB168" s="179"/>
      <c r="CC168" s="179"/>
      <c r="CD168" s="179"/>
      <c r="CE168" s="179"/>
      <c r="CF168" s="179"/>
      <c r="CG168" s="179"/>
      <c r="CH168" s="179"/>
      <c r="CI168" s="179"/>
      <c r="CJ168" s="179"/>
      <c r="CK168" s="179"/>
      <c r="CL168" s="179"/>
      <c r="CM168" s="179"/>
      <c r="CN168" s="179"/>
      <c r="CO168" s="179"/>
      <c r="CP168" s="179"/>
      <c r="CQ168" s="179"/>
      <c r="CR168" s="179"/>
      <c r="CS168" s="179"/>
      <c r="CT168" s="179"/>
      <c r="CU168" s="179"/>
      <c r="CV168" s="179"/>
      <c r="CW168" s="179"/>
      <c r="CX168" s="179"/>
      <c r="CY168" s="179"/>
      <c r="CZ168" s="179"/>
      <c r="DA168" s="179"/>
      <c r="DB168" s="179"/>
      <c r="DC168" s="179"/>
      <c r="DD168" s="179"/>
      <c r="DE168" s="179"/>
      <c r="DF168" s="179"/>
      <c r="DG168" s="179"/>
      <c r="DH168" s="179"/>
      <c r="DI168" s="179"/>
      <c r="DJ168" s="179"/>
      <c r="DK168" s="179"/>
      <c r="DL168" s="179"/>
      <c r="DM168" s="179"/>
      <c r="DN168" s="179"/>
      <c r="DO168" s="179"/>
      <c r="DP168" s="179"/>
      <c r="DQ168" s="179"/>
      <c r="DR168" s="179"/>
      <c r="DS168" s="179"/>
      <c r="DT168" s="179"/>
      <c r="DU168" s="179"/>
      <c r="DV168" s="179"/>
      <c r="DW168" s="179"/>
      <c r="DX168" s="179"/>
      <c r="DY168" s="179"/>
      <c r="DZ168" s="179"/>
      <c r="EA168" s="179"/>
      <c r="EB168" s="179"/>
      <c r="EC168" s="179"/>
      <c r="ED168" s="179"/>
      <c r="EE168" s="179"/>
      <c r="EF168" s="179"/>
      <c r="EG168" s="179"/>
      <c r="EH168" s="179"/>
      <c r="EI168" s="179"/>
      <c r="EJ168" s="179"/>
      <c r="EK168" s="179"/>
      <c r="EL168" s="179"/>
      <c r="EM168" s="179"/>
      <c r="EN168" s="179"/>
      <c r="EO168" s="179"/>
      <c r="EP168" s="179"/>
      <c r="EQ168" s="179"/>
      <c r="ER168" s="179"/>
      <c r="ES168" s="179"/>
      <c r="ET168" s="179"/>
      <c r="EU168" s="179"/>
      <c r="EV168" s="179"/>
      <c r="EW168" s="179"/>
      <c r="EX168" s="179"/>
      <c r="EY168" s="179"/>
      <c r="EZ168" s="179"/>
      <c r="FA168" s="179"/>
      <c r="FB168" s="179"/>
      <c r="FC168" s="179"/>
      <c r="FD168" s="179"/>
      <c r="FE168" s="179"/>
      <c r="FF168" s="179"/>
      <c r="FG168" s="179"/>
      <c r="FH168" s="179"/>
      <c r="FI168" s="179"/>
      <c r="FJ168" s="179"/>
      <c r="FK168" s="179"/>
      <c r="FL168" s="179"/>
      <c r="FM168" s="179"/>
      <c r="FN168" s="179"/>
      <c r="FO168" s="179"/>
      <c r="FP168" s="179"/>
      <c r="FQ168" s="179"/>
      <c r="FR168" s="179"/>
      <c r="FS168" s="179"/>
      <c r="FT168" s="179"/>
      <c r="FU168" s="179"/>
      <c r="FV168" s="179"/>
      <c r="FW168" s="179"/>
      <c r="FX168" s="179"/>
      <c r="FY168" s="179"/>
      <c r="FZ168" s="179"/>
      <c r="GA168" s="179"/>
      <c r="GB168" s="179"/>
      <c r="GC168" s="179"/>
      <c r="GD168" s="179"/>
      <c r="GE168" s="179"/>
      <c r="GF168" s="179"/>
      <c r="GG168" s="179"/>
      <c r="GH168" s="179"/>
      <c r="GI168" s="179"/>
      <c r="GJ168" s="179"/>
      <c r="GK168" s="179"/>
      <c r="GL168" s="179"/>
      <c r="GM168" s="179"/>
      <c r="GN168" s="179"/>
      <c r="GO168" s="179"/>
      <c r="GP168" s="179"/>
      <c r="GQ168" s="179"/>
      <c r="GR168" s="179"/>
      <c r="GS168" s="179"/>
      <c r="GT168" s="179"/>
      <c r="GU168" s="179"/>
      <c r="GV168" s="179"/>
      <c r="GW168" s="179"/>
      <c r="GX168" s="179"/>
      <c r="GY168" s="179"/>
      <c r="GZ168" s="179"/>
      <c r="HA168" s="179"/>
      <c r="HB168" s="179"/>
      <c r="HC168" s="179"/>
      <c r="HD168" s="179"/>
      <c r="HE168" s="179"/>
      <c r="HF168" s="179"/>
      <c r="HG168" s="179"/>
      <c r="HH168" s="179"/>
      <c r="HI168" s="179"/>
      <c r="HJ168" s="179"/>
      <c r="HK168" s="179"/>
      <c r="HL168" s="179"/>
      <c r="HM168" s="179"/>
      <c r="HN168" s="179"/>
      <c r="HO168" s="179"/>
      <c r="HP168" s="179"/>
      <c r="HQ168" s="179"/>
      <c r="HR168" s="179"/>
      <c r="HS168" s="179"/>
      <c r="HT168" s="179"/>
      <c r="HU168" s="179"/>
      <c r="HV168" s="179"/>
      <c r="HW168" s="179"/>
      <c r="HX168" s="179"/>
      <c r="HY168" s="179"/>
      <c r="HZ168" s="179"/>
      <c r="IA168" s="179"/>
      <c r="IB168" s="179"/>
      <c r="IC168" s="179"/>
      <c r="ID168" s="179"/>
      <c r="IE168" s="179"/>
      <c r="IF168" s="179"/>
      <c r="IG168" s="179"/>
      <c r="IH168" s="179"/>
      <c r="II168" s="179"/>
      <c r="IJ168" s="179"/>
      <c r="IK168" s="179"/>
      <c r="IL168" s="179"/>
      <c r="IM168" s="179"/>
      <c r="IN168" s="179"/>
      <c r="IO168" s="179"/>
      <c r="IP168" s="179"/>
      <c r="IQ168" s="179"/>
      <c r="IR168" s="179"/>
    </row>
    <row r="169" spans="1:252">
      <c r="A169" s="325" t="s">
        <v>603</v>
      </c>
      <c r="B169" s="194">
        <f>B168*130*1.302*1.5</f>
        <v>76547.834999999992</v>
      </c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  <c r="FH169" s="179"/>
      <c r="FI169" s="179"/>
      <c r="FJ169" s="179"/>
      <c r="FK169" s="179"/>
      <c r="FL169" s="179"/>
      <c r="FM169" s="179"/>
      <c r="FN169" s="179"/>
      <c r="FO169" s="179"/>
      <c r="FP169" s="179"/>
      <c r="FQ169" s="179"/>
      <c r="FR169" s="179"/>
      <c r="FS169" s="179"/>
      <c r="FT169" s="179"/>
      <c r="FU169" s="179"/>
      <c r="FV169" s="179"/>
      <c r="FW169" s="179"/>
      <c r="FX169" s="179"/>
      <c r="FY169" s="179"/>
      <c r="FZ169" s="179"/>
      <c r="GA169" s="179"/>
      <c r="GB169" s="179"/>
      <c r="GC169" s="179"/>
      <c r="GD169" s="179"/>
      <c r="GE169" s="179"/>
      <c r="GF169" s="179"/>
      <c r="GG169" s="179"/>
      <c r="GH169" s="179"/>
      <c r="GI169" s="179"/>
      <c r="GJ169" s="179"/>
      <c r="GK169" s="179"/>
      <c r="GL169" s="179"/>
      <c r="GM169" s="179"/>
      <c r="GN169" s="179"/>
      <c r="GO169" s="179"/>
      <c r="GP169" s="179"/>
      <c r="GQ169" s="179"/>
      <c r="GR169" s="179"/>
      <c r="GS169" s="179"/>
      <c r="GT169" s="179"/>
      <c r="GU169" s="179"/>
      <c r="GV169" s="179"/>
      <c r="GW169" s="179"/>
      <c r="GX169" s="179"/>
      <c r="GY169" s="179"/>
      <c r="GZ169" s="179"/>
      <c r="HA169" s="179"/>
      <c r="HB169" s="179"/>
      <c r="HC169" s="179"/>
      <c r="HD169" s="179"/>
      <c r="HE169" s="179"/>
      <c r="HF169" s="179"/>
      <c r="HG169" s="179"/>
      <c r="HH169" s="179"/>
      <c r="HI169" s="179"/>
      <c r="HJ169" s="179"/>
      <c r="HK169" s="179"/>
      <c r="HL169" s="179"/>
      <c r="HM169" s="179"/>
      <c r="HN169" s="179"/>
      <c r="HO169" s="179"/>
      <c r="HP169" s="179"/>
      <c r="HQ169" s="179"/>
      <c r="HR169" s="179"/>
      <c r="HS169" s="179"/>
      <c r="HT169" s="179"/>
      <c r="HU169" s="179"/>
      <c r="HV169" s="179"/>
      <c r="HW169" s="179"/>
      <c r="HX169" s="179"/>
      <c r="HY169" s="179"/>
      <c r="HZ169" s="179"/>
      <c r="IA169" s="179"/>
      <c r="IB169" s="179"/>
      <c r="IC169" s="179"/>
      <c r="ID169" s="179"/>
      <c r="IE169" s="179"/>
      <c r="IF169" s="179"/>
      <c r="IG169" s="179"/>
      <c r="IH169" s="179"/>
      <c r="II169" s="179"/>
      <c r="IJ169" s="179"/>
      <c r="IK169" s="179"/>
      <c r="IL169" s="179"/>
      <c r="IM169" s="179"/>
      <c r="IN169" s="179"/>
      <c r="IO169" s="179"/>
      <c r="IP169" s="179"/>
      <c r="IQ169" s="179"/>
      <c r="IR169" s="179"/>
    </row>
    <row r="170" spans="1:252">
      <c r="A170" s="325" t="s">
        <v>1603</v>
      </c>
      <c r="B170" s="194">
        <f>(40913.08+3839.4)*1.5</f>
        <v>67128.72</v>
      </c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79"/>
      <c r="AT170" s="179"/>
      <c r="AU170" s="179"/>
      <c r="AV170" s="179"/>
      <c r="AW170" s="179"/>
      <c r="AX170" s="179"/>
      <c r="AY170" s="179"/>
      <c r="AZ170" s="179"/>
      <c r="BA170" s="179"/>
      <c r="BB170" s="179"/>
      <c r="BC170" s="179"/>
      <c r="BD170" s="179"/>
      <c r="BE170" s="179"/>
      <c r="BF170" s="179"/>
      <c r="BG170" s="179"/>
      <c r="BH170" s="179"/>
      <c r="BI170" s="179"/>
      <c r="BJ170" s="179"/>
      <c r="BK170" s="179"/>
      <c r="BL170" s="179"/>
      <c r="BM170" s="179"/>
      <c r="BN170" s="179"/>
      <c r="BO170" s="179"/>
      <c r="BP170" s="179"/>
      <c r="BQ170" s="179"/>
      <c r="BR170" s="179"/>
      <c r="BS170" s="179"/>
      <c r="BT170" s="179"/>
      <c r="BU170" s="179"/>
      <c r="BV170" s="179"/>
      <c r="BW170" s="179"/>
      <c r="BX170" s="179"/>
      <c r="BY170" s="179"/>
      <c r="BZ170" s="179"/>
      <c r="CA170" s="179"/>
      <c r="CB170" s="179"/>
      <c r="CC170" s="179"/>
      <c r="CD170" s="179"/>
      <c r="CE170" s="179"/>
      <c r="CF170" s="179"/>
      <c r="CG170" s="179"/>
      <c r="CH170" s="179"/>
      <c r="CI170" s="179"/>
      <c r="CJ170" s="179"/>
      <c r="CK170" s="179"/>
      <c r="CL170" s="179"/>
      <c r="CM170" s="179"/>
      <c r="CN170" s="179"/>
      <c r="CO170" s="179"/>
      <c r="CP170" s="179"/>
      <c r="CQ170" s="179"/>
      <c r="CR170" s="179"/>
      <c r="CS170" s="179"/>
      <c r="CT170" s="179"/>
      <c r="CU170" s="179"/>
      <c r="CV170" s="179"/>
      <c r="CW170" s="179"/>
      <c r="CX170" s="179"/>
      <c r="CY170" s="179"/>
      <c r="CZ170" s="179"/>
      <c r="DA170" s="179"/>
      <c r="DB170" s="179"/>
      <c r="DC170" s="179"/>
      <c r="DD170" s="179"/>
      <c r="DE170" s="179"/>
      <c r="DF170" s="179"/>
      <c r="DG170" s="179"/>
      <c r="DH170" s="179"/>
      <c r="DI170" s="179"/>
      <c r="DJ170" s="179"/>
      <c r="DK170" s="179"/>
      <c r="DL170" s="179"/>
      <c r="DM170" s="179"/>
      <c r="DN170" s="179"/>
      <c r="DO170" s="179"/>
      <c r="DP170" s="179"/>
      <c r="DQ170" s="179"/>
      <c r="DR170" s="179"/>
      <c r="DS170" s="179"/>
      <c r="DT170" s="179"/>
      <c r="DU170" s="179"/>
      <c r="DV170" s="179"/>
      <c r="DW170" s="179"/>
      <c r="DX170" s="179"/>
      <c r="DY170" s="179"/>
      <c r="DZ170" s="179"/>
      <c r="EA170" s="179"/>
      <c r="EB170" s="179"/>
      <c r="EC170" s="179"/>
      <c r="ED170" s="179"/>
      <c r="EE170" s="179"/>
      <c r="EF170" s="179"/>
      <c r="EG170" s="179"/>
      <c r="EH170" s="179"/>
      <c r="EI170" s="179"/>
      <c r="EJ170" s="179"/>
      <c r="EK170" s="179"/>
      <c r="EL170" s="179"/>
      <c r="EM170" s="179"/>
      <c r="EN170" s="179"/>
      <c r="EO170" s="179"/>
      <c r="EP170" s="179"/>
      <c r="EQ170" s="179"/>
      <c r="ER170" s="179"/>
      <c r="ES170" s="179"/>
      <c r="ET170" s="179"/>
      <c r="EU170" s="179"/>
      <c r="EV170" s="179"/>
      <c r="EW170" s="179"/>
      <c r="EX170" s="179"/>
      <c r="EY170" s="179"/>
      <c r="EZ170" s="179"/>
      <c r="FA170" s="179"/>
      <c r="FB170" s="179"/>
      <c r="FC170" s="179"/>
      <c r="FD170" s="179"/>
      <c r="FE170" s="179"/>
      <c r="FF170" s="179"/>
      <c r="FG170" s="179"/>
      <c r="FH170" s="179"/>
      <c r="FI170" s="179"/>
      <c r="FJ170" s="179"/>
      <c r="FK170" s="179"/>
      <c r="FL170" s="179"/>
      <c r="FM170" s="179"/>
      <c r="FN170" s="179"/>
      <c r="FO170" s="179"/>
      <c r="FP170" s="179"/>
      <c r="FQ170" s="179"/>
      <c r="FR170" s="179"/>
      <c r="FS170" s="179"/>
      <c r="FT170" s="179"/>
      <c r="FU170" s="179"/>
      <c r="FV170" s="179"/>
      <c r="FW170" s="179"/>
      <c r="FX170" s="179"/>
      <c r="FY170" s="179"/>
      <c r="FZ170" s="179"/>
      <c r="GA170" s="179"/>
      <c r="GB170" s="179"/>
      <c r="GC170" s="179"/>
      <c r="GD170" s="179"/>
      <c r="GE170" s="179"/>
      <c r="GF170" s="179"/>
      <c r="GG170" s="179"/>
      <c r="GH170" s="179"/>
      <c r="GI170" s="179"/>
      <c r="GJ170" s="179"/>
      <c r="GK170" s="179"/>
      <c r="GL170" s="179"/>
      <c r="GM170" s="179"/>
      <c r="GN170" s="179"/>
      <c r="GO170" s="179"/>
      <c r="GP170" s="179"/>
      <c r="GQ170" s="179"/>
      <c r="GR170" s="179"/>
      <c r="GS170" s="179"/>
      <c r="GT170" s="179"/>
      <c r="GU170" s="179"/>
      <c r="GV170" s="179"/>
      <c r="GW170" s="179"/>
      <c r="GX170" s="179"/>
      <c r="GY170" s="179"/>
      <c r="GZ170" s="179"/>
      <c r="HA170" s="179"/>
      <c r="HB170" s="179"/>
      <c r="HC170" s="179"/>
      <c r="HD170" s="179"/>
      <c r="HE170" s="179"/>
      <c r="HF170" s="179"/>
      <c r="HG170" s="179"/>
      <c r="HH170" s="179"/>
      <c r="HI170" s="179"/>
      <c r="HJ170" s="179"/>
      <c r="HK170" s="179"/>
      <c r="HL170" s="179"/>
      <c r="HM170" s="179"/>
      <c r="HN170" s="179"/>
      <c r="HO170" s="179"/>
      <c r="HP170" s="179"/>
      <c r="HQ170" s="179"/>
      <c r="HR170" s="179"/>
      <c r="HS170" s="179"/>
      <c r="HT170" s="179"/>
      <c r="HU170" s="179"/>
      <c r="HV170" s="179"/>
      <c r="HW170" s="179"/>
      <c r="HX170" s="179"/>
      <c r="HY170" s="179"/>
      <c r="HZ170" s="179"/>
      <c r="IA170" s="179"/>
      <c r="IB170" s="179"/>
      <c r="IC170" s="179"/>
      <c r="ID170" s="179"/>
      <c r="IE170" s="179"/>
      <c r="IF170" s="179"/>
      <c r="IG170" s="179"/>
      <c r="IH170" s="179"/>
      <c r="II170" s="179"/>
      <c r="IJ170" s="179"/>
      <c r="IK170" s="179"/>
      <c r="IL170" s="179"/>
      <c r="IM170" s="179"/>
      <c r="IN170" s="179"/>
      <c r="IO170" s="179"/>
      <c r="IP170" s="179"/>
      <c r="IQ170" s="179"/>
      <c r="IR170" s="179"/>
    </row>
    <row r="171" spans="1:252">
      <c r="A171" s="325" t="s">
        <v>3819</v>
      </c>
      <c r="B171" s="194">
        <f>2300*12</f>
        <v>27600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79"/>
      <c r="AT171" s="179"/>
      <c r="AU171" s="179"/>
      <c r="AV171" s="179"/>
      <c r="AW171" s="179"/>
      <c r="AX171" s="179"/>
      <c r="AY171" s="179"/>
      <c r="AZ171" s="179"/>
      <c r="BA171" s="179"/>
      <c r="BB171" s="179"/>
      <c r="BC171" s="179"/>
      <c r="BD171" s="179"/>
      <c r="BE171" s="179"/>
      <c r="BF171" s="179"/>
      <c r="BG171" s="179"/>
      <c r="BH171" s="179"/>
      <c r="BI171" s="179"/>
      <c r="BJ171" s="179"/>
      <c r="BK171" s="179"/>
      <c r="BL171" s="179"/>
      <c r="BM171" s="179"/>
      <c r="BN171" s="179"/>
      <c r="BO171" s="179"/>
      <c r="BP171" s="179"/>
      <c r="BQ171" s="179"/>
      <c r="BR171" s="179"/>
      <c r="BS171" s="179"/>
      <c r="BT171" s="179"/>
      <c r="BU171" s="179"/>
      <c r="BV171" s="179"/>
      <c r="BW171" s="179"/>
      <c r="BX171" s="179"/>
      <c r="BY171" s="179"/>
      <c r="BZ171" s="179"/>
      <c r="CA171" s="179"/>
      <c r="CB171" s="179"/>
      <c r="CC171" s="179"/>
      <c r="CD171" s="179"/>
      <c r="CE171" s="179"/>
      <c r="CF171" s="179"/>
      <c r="CG171" s="179"/>
      <c r="CH171" s="179"/>
      <c r="CI171" s="179"/>
      <c r="CJ171" s="179"/>
      <c r="CK171" s="179"/>
      <c r="CL171" s="179"/>
      <c r="CM171" s="179"/>
      <c r="CN171" s="179"/>
      <c r="CO171" s="179"/>
      <c r="CP171" s="179"/>
      <c r="CQ171" s="179"/>
      <c r="CR171" s="179"/>
      <c r="CS171" s="179"/>
      <c r="CT171" s="179"/>
      <c r="CU171" s="179"/>
      <c r="CV171" s="179"/>
      <c r="CW171" s="179"/>
      <c r="CX171" s="179"/>
      <c r="CY171" s="179"/>
      <c r="CZ171" s="179"/>
      <c r="DA171" s="179"/>
      <c r="DB171" s="179"/>
      <c r="DC171" s="179"/>
      <c r="DD171" s="179"/>
      <c r="DE171" s="179"/>
      <c r="DF171" s="179"/>
      <c r="DG171" s="179"/>
      <c r="DH171" s="179"/>
      <c r="DI171" s="179"/>
      <c r="DJ171" s="179"/>
      <c r="DK171" s="179"/>
      <c r="DL171" s="179"/>
      <c r="DM171" s="179"/>
      <c r="DN171" s="179"/>
      <c r="DO171" s="179"/>
      <c r="DP171" s="179"/>
      <c r="DQ171" s="179"/>
      <c r="DR171" s="179"/>
      <c r="DS171" s="179"/>
      <c r="DT171" s="179"/>
      <c r="DU171" s="179"/>
      <c r="DV171" s="179"/>
      <c r="DW171" s="179"/>
      <c r="DX171" s="179"/>
      <c r="DY171" s="179"/>
      <c r="DZ171" s="179"/>
      <c r="EA171" s="179"/>
      <c r="EB171" s="179"/>
      <c r="EC171" s="179"/>
      <c r="ED171" s="179"/>
      <c r="EE171" s="179"/>
      <c r="EF171" s="179"/>
      <c r="EG171" s="179"/>
      <c r="EH171" s="179"/>
      <c r="EI171" s="179"/>
      <c r="EJ171" s="179"/>
      <c r="EK171" s="179"/>
      <c r="EL171" s="179"/>
      <c r="EM171" s="179"/>
      <c r="EN171" s="179"/>
      <c r="EO171" s="179"/>
      <c r="EP171" s="179"/>
      <c r="EQ171" s="179"/>
      <c r="ER171" s="179"/>
      <c r="ES171" s="179"/>
      <c r="ET171" s="179"/>
      <c r="EU171" s="179"/>
      <c r="EV171" s="179"/>
      <c r="EW171" s="179"/>
      <c r="EX171" s="179"/>
      <c r="EY171" s="179"/>
      <c r="EZ171" s="179"/>
      <c r="FA171" s="179"/>
      <c r="FB171" s="179"/>
      <c r="FC171" s="179"/>
      <c r="FD171" s="179"/>
      <c r="FE171" s="179"/>
      <c r="FF171" s="179"/>
      <c r="FG171" s="179"/>
      <c r="FH171" s="179"/>
      <c r="FI171" s="179"/>
      <c r="FJ171" s="179"/>
      <c r="FK171" s="179"/>
      <c r="FL171" s="179"/>
      <c r="FM171" s="179"/>
      <c r="FN171" s="179"/>
      <c r="FO171" s="179"/>
      <c r="FP171" s="179"/>
      <c r="FQ171" s="179"/>
      <c r="FR171" s="179"/>
      <c r="FS171" s="179"/>
      <c r="FT171" s="179"/>
      <c r="FU171" s="179"/>
      <c r="FV171" s="179"/>
      <c r="FW171" s="179"/>
      <c r="FX171" s="179"/>
      <c r="FY171" s="179"/>
      <c r="FZ171" s="179"/>
      <c r="GA171" s="179"/>
      <c r="GB171" s="179"/>
      <c r="GC171" s="179"/>
      <c r="GD171" s="179"/>
      <c r="GE171" s="179"/>
      <c r="GF171" s="179"/>
      <c r="GG171" s="179"/>
      <c r="GH171" s="179"/>
      <c r="GI171" s="179"/>
      <c r="GJ171" s="179"/>
      <c r="GK171" s="179"/>
      <c r="GL171" s="179"/>
      <c r="GM171" s="179"/>
      <c r="GN171" s="179"/>
      <c r="GO171" s="179"/>
      <c r="GP171" s="179"/>
      <c r="GQ171" s="179"/>
      <c r="GR171" s="179"/>
      <c r="GS171" s="179"/>
      <c r="GT171" s="179"/>
      <c r="GU171" s="179"/>
      <c r="GV171" s="179"/>
      <c r="GW171" s="179"/>
      <c r="GX171" s="179"/>
      <c r="GY171" s="179"/>
      <c r="GZ171" s="179"/>
      <c r="HA171" s="179"/>
      <c r="HB171" s="179"/>
      <c r="HC171" s="179"/>
      <c r="HD171" s="179"/>
      <c r="HE171" s="179"/>
      <c r="HF171" s="179"/>
      <c r="HG171" s="179"/>
      <c r="HH171" s="179"/>
      <c r="HI171" s="179"/>
      <c r="HJ171" s="179"/>
      <c r="HK171" s="179"/>
      <c r="HL171" s="179"/>
      <c r="HM171" s="179"/>
      <c r="HN171" s="179"/>
      <c r="HO171" s="179"/>
      <c r="HP171" s="179"/>
      <c r="HQ171" s="179"/>
      <c r="HR171" s="179"/>
      <c r="HS171" s="179"/>
      <c r="HT171" s="179"/>
      <c r="HU171" s="179"/>
      <c r="HV171" s="179"/>
      <c r="HW171" s="179"/>
      <c r="HX171" s="179"/>
      <c r="HY171" s="179"/>
      <c r="HZ171" s="179"/>
      <c r="IA171" s="179"/>
      <c r="IB171" s="179"/>
      <c r="IC171" s="179"/>
      <c r="ID171" s="179"/>
      <c r="IE171" s="179"/>
      <c r="IF171" s="179"/>
      <c r="IG171" s="179"/>
      <c r="IH171" s="179"/>
      <c r="II171" s="179"/>
      <c r="IJ171" s="179"/>
      <c r="IK171" s="179"/>
      <c r="IL171" s="179"/>
      <c r="IM171" s="179"/>
      <c r="IN171" s="179"/>
      <c r="IO171" s="179"/>
      <c r="IP171" s="179"/>
      <c r="IQ171" s="179"/>
      <c r="IR171" s="179"/>
    </row>
    <row r="172" spans="1:252">
      <c r="A172" s="325" t="s">
        <v>724</v>
      </c>
      <c r="B172" s="194">
        <f>4426.98*1.5</f>
        <v>6640.4699999999993</v>
      </c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  <c r="BI172" s="179"/>
      <c r="BJ172" s="179"/>
      <c r="BK172" s="179"/>
      <c r="BL172" s="179"/>
      <c r="BM172" s="179"/>
      <c r="BN172" s="179"/>
      <c r="BO172" s="179"/>
      <c r="BP172" s="179"/>
      <c r="BQ172" s="179"/>
      <c r="BR172" s="179"/>
      <c r="BS172" s="179"/>
      <c r="BT172" s="179"/>
      <c r="BU172" s="179"/>
      <c r="BV172" s="179"/>
      <c r="BW172" s="179"/>
      <c r="BX172" s="179"/>
      <c r="BY172" s="179"/>
      <c r="BZ172" s="179"/>
      <c r="CA172" s="179"/>
      <c r="CB172" s="179"/>
      <c r="CC172" s="179"/>
      <c r="CD172" s="179"/>
      <c r="CE172" s="179"/>
      <c r="CF172" s="179"/>
      <c r="CG172" s="179"/>
      <c r="CH172" s="179"/>
      <c r="CI172" s="179"/>
      <c r="CJ172" s="179"/>
      <c r="CK172" s="179"/>
      <c r="CL172" s="179"/>
      <c r="CM172" s="179"/>
      <c r="CN172" s="179"/>
      <c r="CO172" s="179"/>
      <c r="CP172" s="179"/>
      <c r="CQ172" s="179"/>
      <c r="CR172" s="179"/>
      <c r="CS172" s="179"/>
      <c r="CT172" s="179"/>
      <c r="CU172" s="179"/>
      <c r="CV172" s="179"/>
      <c r="CW172" s="179"/>
      <c r="CX172" s="179"/>
      <c r="CY172" s="179"/>
      <c r="CZ172" s="179"/>
      <c r="DA172" s="179"/>
      <c r="DB172" s="179"/>
      <c r="DC172" s="179"/>
      <c r="DD172" s="179"/>
      <c r="DE172" s="179"/>
      <c r="DF172" s="179"/>
      <c r="DG172" s="179"/>
      <c r="DH172" s="179"/>
      <c r="DI172" s="179"/>
      <c r="DJ172" s="179"/>
      <c r="DK172" s="179"/>
      <c r="DL172" s="179"/>
      <c r="DM172" s="179"/>
      <c r="DN172" s="179"/>
      <c r="DO172" s="179"/>
      <c r="DP172" s="179"/>
      <c r="DQ172" s="179"/>
      <c r="DR172" s="179"/>
      <c r="DS172" s="179"/>
      <c r="DT172" s="179"/>
      <c r="DU172" s="179"/>
      <c r="DV172" s="179"/>
      <c r="DW172" s="179"/>
      <c r="DX172" s="179"/>
      <c r="DY172" s="179"/>
      <c r="DZ172" s="179"/>
      <c r="EA172" s="179"/>
      <c r="EB172" s="179"/>
      <c r="EC172" s="179"/>
      <c r="ED172" s="179"/>
      <c r="EE172" s="179"/>
      <c r="EF172" s="179"/>
      <c r="EG172" s="179"/>
      <c r="EH172" s="179"/>
      <c r="EI172" s="179"/>
      <c r="EJ172" s="179"/>
      <c r="EK172" s="179"/>
      <c r="EL172" s="179"/>
      <c r="EM172" s="179"/>
      <c r="EN172" s="179"/>
      <c r="EO172" s="179"/>
      <c r="EP172" s="179"/>
      <c r="EQ172" s="179"/>
      <c r="ER172" s="179"/>
      <c r="ES172" s="179"/>
      <c r="ET172" s="179"/>
      <c r="EU172" s="179"/>
      <c r="EV172" s="179"/>
      <c r="EW172" s="179"/>
      <c r="EX172" s="179"/>
      <c r="EY172" s="179"/>
      <c r="EZ172" s="179"/>
      <c r="FA172" s="179"/>
      <c r="FB172" s="179"/>
      <c r="FC172" s="179"/>
      <c r="FD172" s="179"/>
      <c r="FE172" s="179"/>
      <c r="FF172" s="179"/>
      <c r="FG172" s="179"/>
      <c r="FH172" s="179"/>
      <c r="FI172" s="179"/>
      <c r="FJ172" s="179"/>
      <c r="FK172" s="179"/>
      <c r="FL172" s="179"/>
      <c r="FM172" s="179"/>
      <c r="FN172" s="179"/>
      <c r="FO172" s="179"/>
      <c r="FP172" s="179"/>
      <c r="FQ172" s="179"/>
      <c r="FR172" s="179"/>
      <c r="FS172" s="179"/>
      <c r="FT172" s="179"/>
      <c r="FU172" s="179"/>
      <c r="FV172" s="179"/>
      <c r="FW172" s="179"/>
      <c r="FX172" s="179"/>
      <c r="FY172" s="179"/>
      <c r="FZ172" s="179"/>
      <c r="GA172" s="179"/>
      <c r="GB172" s="179"/>
      <c r="GC172" s="179"/>
      <c r="GD172" s="179"/>
      <c r="GE172" s="179"/>
      <c r="GF172" s="179"/>
      <c r="GG172" s="179"/>
      <c r="GH172" s="179"/>
      <c r="GI172" s="179"/>
      <c r="GJ172" s="179"/>
      <c r="GK172" s="179"/>
      <c r="GL172" s="179"/>
      <c r="GM172" s="179"/>
      <c r="GN172" s="179"/>
      <c r="GO172" s="179"/>
      <c r="GP172" s="179"/>
      <c r="GQ172" s="179"/>
      <c r="GR172" s="179"/>
      <c r="GS172" s="179"/>
      <c r="GT172" s="179"/>
      <c r="GU172" s="179"/>
      <c r="GV172" s="179"/>
      <c r="GW172" s="179"/>
      <c r="GX172" s="179"/>
      <c r="GY172" s="179"/>
      <c r="GZ172" s="179"/>
      <c r="HA172" s="179"/>
      <c r="HB172" s="179"/>
      <c r="HC172" s="179"/>
      <c r="HD172" s="179"/>
      <c r="HE172" s="179"/>
      <c r="HF172" s="179"/>
      <c r="HG172" s="179"/>
      <c r="HH172" s="179"/>
      <c r="HI172" s="179"/>
      <c r="HJ172" s="179"/>
      <c r="HK172" s="179"/>
      <c r="HL172" s="179"/>
      <c r="HM172" s="179"/>
      <c r="HN172" s="179"/>
      <c r="HO172" s="179"/>
      <c r="HP172" s="179"/>
      <c r="HQ172" s="179"/>
      <c r="HR172" s="179"/>
      <c r="HS172" s="179"/>
      <c r="HT172" s="179"/>
      <c r="HU172" s="179"/>
      <c r="HV172" s="179"/>
      <c r="HW172" s="179"/>
      <c r="HX172" s="179"/>
      <c r="HY172" s="179"/>
      <c r="HZ172" s="179"/>
      <c r="IA172" s="179"/>
      <c r="IB172" s="179"/>
      <c r="IC172" s="179"/>
      <c r="ID172" s="179"/>
      <c r="IE172" s="179"/>
      <c r="IF172" s="179"/>
      <c r="IG172" s="179"/>
      <c r="IH172" s="179"/>
      <c r="II172" s="179"/>
      <c r="IJ172" s="179"/>
      <c r="IK172" s="179"/>
      <c r="IL172" s="179"/>
      <c r="IM172" s="179"/>
      <c r="IN172" s="179"/>
      <c r="IO172" s="179"/>
      <c r="IP172" s="179"/>
      <c r="IQ172" s="179"/>
      <c r="IR172" s="179"/>
    </row>
    <row r="173" spans="1:252">
      <c r="A173" s="325" t="s">
        <v>1599</v>
      </c>
      <c r="B173" s="194">
        <v>127878.46</v>
      </c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  <c r="BD173" s="179"/>
      <c r="BE173" s="179"/>
      <c r="BF173" s="179"/>
      <c r="BG173" s="179"/>
      <c r="BH173" s="179"/>
      <c r="BI173" s="179"/>
      <c r="BJ173" s="179"/>
      <c r="BK173" s="179"/>
      <c r="BL173" s="179"/>
      <c r="BM173" s="179"/>
      <c r="BN173" s="179"/>
      <c r="BO173" s="179"/>
      <c r="BP173" s="179"/>
      <c r="BQ173" s="179"/>
      <c r="BR173" s="179"/>
      <c r="BS173" s="179"/>
      <c r="BT173" s="179"/>
      <c r="BU173" s="179"/>
      <c r="BV173" s="179"/>
      <c r="BW173" s="179"/>
      <c r="BX173" s="179"/>
      <c r="BY173" s="179"/>
      <c r="BZ173" s="179"/>
      <c r="CA173" s="179"/>
      <c r="CB173" s="179"/>
      <c r="CC173" s="179"/>
      <c r="CD173" s="179"/>
      <c r="CE173" s="179"/>
      <c r="CF173" s="179"/>
      <c r="CG173" s="179"/>
      <c r="CH173" s="179"/>
      <c r="CI173" s="179"/>
      <c r="CJ173" s="179"/>
      <c r="CK173" s="179"/>
      <c r="CL173" s="179"/>
      <c r="CM173" s="179"/>
      <c r="CN173" s="179"/>
      <c r="CO173" s="179"/>
      <c r="CP173" s="179"/>
      <c r="CQ173" s="179"/>
      <c r="CR173" s="179"/>
      <c r="CS173" s="179"/>
      <c r="CT173" s="179"/>
      <c r="CU173" s="179"/>
      <c r="CV173" s="179"/>
      <c r="CW173" s="179"/>
      <c r="CX173" s="179"/>
      <c r="CY173" s="179"/>
      <c r="CZ173" s="179"/>
      <c r="DA173" s="179"/>
      <c r="DB173" s="179"/>
      <c r="DC173" s="179"/>
      <c r="DD173" s="179"/>
      <c r="DE173" s="179"/>
      <c r="DF173" s="179"/>
      <c r="DG173" s="179"/>
      <c r="DH173" s="179"/>
      <c r="DI173" s="179"/>
      <c r="DJ173" s="179"/>
      <c r="DK173" s="179"/>
      <c r="DL173" s="179"/>
      <c r="DM173" s="179"/>
      <c r="DN173" s="179"/>
      <c r="DO173" s="179"/>
      <c r="DP173" s="179"/>
      <c r="DQ173" s="179"/>
      <c r="DR173" s="179"/>
      <c r="DS173" s="179"/>
      <c r="DT173" s="179"/>
      <c r="DU173" s="179"/>
      <c r="DV173" s="179"/>
      <c r="DW173" s="179"/>
      <c r="DX173" s="179"/>
      <c r="DY173" s="179"/>
      <c r="DZ173" s="179"/>
      <c r="EA173" s="179"/>
      <c r="EB173" s="179"/>
      <c r="EC173" s="179"/>
      <c r="ED173" s="179"/>
      <c r="EE173" s="179"/>
      <c r="EF173" s="179"/>
      <c r="EG173" s="179"/>
      <c r="EH173" s="179"/>
      <c r="EI173" s="179"/>
      <c r="EJ173" s="179"/>
      <c r="EK173" s="179"/>
      <c r="EL173" s="179"/>
      <c r="EM173" s="179"/>
      <c r="EN173" s="179"/>
      <c r="EO173" s="179"/>
      <c r="EP173" s="179"/>
      <c r="EQ173" s="179"/>
      <c r="ER173" s="179"/>
      <c r="ES173" s="179"/>
      <c r="ET173" s="179"/>
      <c r="EU173" s="179"/>
      <c r="EV173" s="179"/>
      <c r="EW173" s="179"/>
      <c r="EX173" s="179"/>
      <c r="EY173" s="179"/>
      <c r="EZ173" s="179"/>
      <c r="FA173" s="179"/>
      <c r="FB173" s="179"/>
      <c r="FC173" s="179"/>
      <c r="FD173" s="179"/>
      <c r="FE173" s="179"/>
      <c r="FF173" s="179"/>
      <c r="FG173" s="179"/>
      <c r="FH173" s="179"/>
      <c r="FI173" s="179"/>
      <c r="FJ173" s="179"/>
      <c r="FK173" s="179"/>
      <c r="FL173" s="179"/>
      <c r="FM173" s="179"/>
      <c r="FN173" s="179"/>
      <c r="FO173" s="179"/>
      <c r="FP173" s="179"/>
      <c r="FQ173" s="179"/>
      <c r="FR173" s="179"/>
      <c r="FS173" s="179"/>
      <c r="FT173" s="179"/>
      <c r="FU173" s="179"/>
      <c r="FV173" s="179"/>
      <c r="FW173" s="179"/>
      <c r="FX173" s="179"/>
      <c r="FY173" s="179"/>
      <c r="FZ173" s="179"/>
      <c r="GA173" s="179"/>
      <c r="GB173" s="179"/>
      <c r="GC173" s="179"/>
      <c r="GD173" s="179"/>
      <c r="GE173" s="179"/>
      <c r="GF173" s="179"/>
      <c r="GG173" s="179"/>
      <c r="GH173" s="179"/>
      <c r="GI173" s="179"/>
      <c r="GJ173" s="179"/>
      <c r="GK173" s="179"/>
      <c r="GL173" s="179"/>
      <c r="GM173" s="179"/>
      <c r="GN173" s="179"/>
      <c r="GO173" s="179"/>
      <c r="GP173" s="179"/>
      <c r="GQ173" s="179"/>
      <c r="GR173" s="179"/>
      <c r="GS173" s="179"/>
      <c r="GT173" s="179"/>
      <c r="GU173" s="179"/>
      <c r="GV173" s="179"/>
      <c r="GW173" s="179"/>
      <c r="GX173" s="179"/>
      <c r="GY173" s="179"/>
      <c r="GZ173" s="179"/>
      <c r="HA173" s="179"/>
      <c r="HB173" s="179"/>
      <c r="HC173" s="179"/>
      <c r="HD173" s="179"/>
      <c r="HE173" s="179"/>
      <c r="HF173" s="179"/>
      <c r="HG173" s="179"/>
      <c r="HH173" s="179"/>
      <c r="HI173" s="179"/>
      <c r="HJ173" s="179"/>
      <c r="HK173" s="179"/>
      <c r="HL173" s="179"/>
      <c r="HM173" s="179"/>
      <c r="HN173" s="179"/>
      <c r="HO173" s="179"/>
      <c r="HP173" s="179"/>
      <c r="HQ173" s="179"/>
      <c r="HR173" s="179"/>
      <c r="HS173" s="179"/>
      <c r="HT173" s="179"/>
      <c r="HU173" s="179"/>
      <c r="HV173" s="179"/>
      <c r="HW173" s="179"/>
      <c r="HX173" s="179"/>
      <c r="HY173" s="179"/>
      <c r="HZ173" s="179"/>
      <c r="IA173" s="179"/>
      <c r="IB173" s="179"/>
      <c r="IC173" s="179"/>
      <c r="ID173" s="179"/>
      <c r="IE173" s="179"/>
      <c r="IF173" s="179"/>
      <c r="IG173" s="179"/>
      <c r="IH173" s="179"/>
      <c r="II173" s="179"/>
      <c r="IJ173" s="179"/>
      <c r="IK173" s="179"/>
      <c r="IL173" s="179"/>
      <c r="IM173" s="179"/>
      <c r="IN173" s="179"/>
      <c r="IO173" s="179"/>
      <c r="IP173" s="179"/>
      <c r="IQ173" s="179"/>
      <c r="IR173" s="179"/>
    </row>
    <row r="174" spans="1:252" s="75" customFormat="1">
      <c r="A174" s="542" t="s">
        <v>2600</v>
      </c>
      <c r="B174" s="194">
        <f>B159-B161-B173</f>
        <v>-173553.9518748293</v>
      </c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7"/>
      <c r="BQ174" s="197"/>
      <c r="BR174" s="197"/>
      <c r="BS174" s="197"/>
      <c r="BT174" s="197"/>
      <c r="BU174" s="197"/>
      <c r="BV174" s="197"/>
      <c r="BW174" s="197"/>
      <c r="BX174" s="197"/>
      <c r="BY174" s="197"/>
      <c r="BZ174" s="197"/>
      <c r="CA174" s="197"/>
      <c r="CB174" s="197"/>
      <c r="CC174" s="197"/>
      <c r="CD174" s="197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  <c r="DB174" s="197"/>
      <c r="DC174" s="197"/>
      <c r="DD174" s="197"/>
      <c r="DE174" s="197"/>
      <c r="DF174" s="197"/>
      <c r="DG174" s="197"/>
      <c r="DH174" s="197"/>
      <c r="DI174" s="197"/>
      <c r="DJ174" s="197"/>
      <c r="DK174" s="197"/>
      <c r="DL174" s="197"/>
      <c r="DM174" s="197"/>
      <c r="DN174" s="197"/>
      <c r="DO174" s="197"/>
      <c r="DP174" s="197"/>
      <c r="DQ174" s="197"/>
      <c r="DR174" s="197"/>
      <c r="DS174" s="197"/>
      <c r="DT174" s="197"/>
      <c r="DU174" s="197"/>
      <c r="DV174" s="197"/>
      <c r="DW174" s="197"/>
      <c r="DX174" s="197"/>
      <c r="DY174" s="197"/>
      <c r="DZ174" s="197"/>
      <c r="EA174" s="197"/>
      <c r="EB174" s="197"/>
      <c r="EC174" s="197"/>
      <c r="ED174" s="197"/>
      <c r="EE174" s="197"/>
      <c r="EF174" s="197"/>
      <c r="EG174" s="197"/>
      <c r="EH174" s="197"/>
      <c r="EI174" s="197"/>
      <c r="EJ174" s="197"/>
      <c r="EK174" s="197"/>
      <c r="EL174" s="197"/>
      <c r="EM174" s="197"/>
      <c r="EN174" s="197"/>
      <c r="EO174" s="197"/>
      <c r="EP174" s="197"/>
      <c r="EQ174" s="197"/>
      <c r="ER174" s="197"/>
      <c r="ES174" s="197"/>
      <c r="ET174" s="197"/>
      <c r="EU174" s="197"/>
      <c r="EV174" s="197"/>
      <c r="EW174" s="197"/>
      <c r="EX174" s="197"/>
      <c r="EY174" s="197"/>
      <c r="EZ174" s="197"/>
      <c r="FA174" s="197"/>
      <c r="FB174" s="197"/>
      <c r="FC174" s="197"/>
      <c r="FD174" s="197"/>
      <c r="FE174" s="197"/>
      <c r="FF174" s="197"/>
      <c r="FG174" s="197"/>
      <c r="FH174" s="197"/>
      <c r="FI174" s="197"/>
      <c r="FJ174" s="197"/>
      <c r="FK174" s="197"/>
      <c r="FL174" s="197"/>
      <c r="FM174" s="197"/>
      <c r="FN174" s="197"/>
      <c r="FO174" s="197"/>
      <c r="FP174" s="197"/>
      <c r="FQ174" s="197"/>
      <c r="FR174" s="197"/>
      <c r="FS174" s="197"/>
      <c r="FT174" s="197"/>
      <c r="FU174" s="197"/>
      <c r="FV174" s="197"/>
      <c r="FW174" s="197"/>
      <c r="FX174" s="197"/>
      <c r="FY174" s="197"/>
      <c r="FZ174" s="197"/>
      <c r="GA174" s="197"/>
      <c r="GB174" s="197"/>
      <c r="GC174" s="197"/>
      <c r="GD174" s="197"/>
      <c r="GE174" s="197"/>
      <c r="GF174" s="197"/>
      <c r="GG174" s="197"/>
      <c r="GH174" s="197"/>
      <c r="GI174" s="197"/>
      <c r="GJ174" s="197"/>
      <c r="GK174" s="197"/>
      <c r="GL174" s="197"/>
      <c r="GM174" s="197"/>
      <c r="GN174" s="197"/>
      <c r="GO174" s="197"/>
      <c r="GP174" s="197"/>
      <c r="GQ174" s="197"/>
      <c r="GR174" s="197"/>
      <c r="GS174" s="197"/>
      <c r="GT174" s="197"/>
      <c r="GU174" s="197"/>
      <c r="GV174" s="197"/>
      <c r="GW174" s="197"/>
      <c r="GX174" s="197"/>
      <c r="GY174" s="197"/>
      <c r="GZ174" s="197"/>
      <c r="HA174" s="197"/>
      <c r="HB174" s="197"/>
      <c r="HC174" s="197"/>
      <c r="HD174" s="197"/>
      <c r="HE174" s="197"/>
      <c r="HF174" s="197"/>
      <c r="HG174" s="197"/>
      <c r="HH174" s="197"/>
      <c r="HI174" s="197"/>
      <c r="HJ174" s="197"/>
      <c r="HK174" s="197"/>
      <c r="HL174" s="197"/>
      <c r="HM174" s="197"/>
      <c r="HN174" s="197"/>
      <c r="HO174" s="197"/>
      <c r="HP174" s="197"/>
      <c r="HQ174" s="197"/>
      <c r="HR174" s="197"/>
      <c r="HS174" s="197"/>
      <c r="HT174" s="197"/>
      <c r="HU174" s="197"/>
      <c r="HV174" s="197"/>
      <c r="HW174" s="197"/>
      <c r="HX174" s="197"/>
      <c r="HY174" s="197"/>
      <c r="HZ174" s="197"/>
      <c r="IA174" s="197"/>
      <c r="IB174" s="197"/>
      <c r="IC174" s="197"/>
      <c r="ID174" s="197"/>
      <c r="IE174" s="197"/>
      <c r="IF174" s="197"/>
      <c r="IG174" s="197"/>
      <c r="IH174" s="197"/>
      <c r="II174" s="197"/>
      <c r="IJ174" s="197"/>
      <c r="IK174" s="197"/>
      <c r="IL174" s="197"/>
      <c r="IM174" s="197"/>
      <c r="IN174" s="197"/>
      <c r="IO174" s="197"/>
    </row>
    <row r="175" spans="1:252" s="75" customFormat="1">
      <c r="A175" s="567"/>
      <c r="B175" s="568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7"/>
      <c r="BN175" s="197"/>
      <c r="BO175" s="197"/>
      <c r="BP175" s="197"/>
      <c r="BQ175" s="197"/>
      <c r="BR175" s="197"/>
      <c r="BS175" s="197"/>
      <c r="BT175" s="197"/>
      <c r="BU175" s="197"/>
      <c r="BV175" s="197"/>
      <c r="BW175" s="197"/>
      <c r="BX175" s="197"/>
      <c r="BY175" s="197"/>
      <c r="BZ175" s="197"/>
      <c r="CA175" s="197"/>
      <c r="CB175" s="197"/>
      <c r="CC175" s="197"/>
      <c r="CD175" s="197"/>
      <c r="CE175" s="197"/>
      <c r="CF175" s="197"/>
      <c r="CG175" s="197"/>
      <c r="CH175" s="197"/>
      <c r="CI175" s="197"/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  <c r="DB175" s="197"/>
      <c r="DC175" s="197"/>
      <c r="DD175" s="197"/>
      <c r="DE175" s="197"/>
      <c r="DF175" s="197"/>
      <c r="DG175" s="197"/>
      <c r="DH175" s="197"/>
      <c r="DI175" s="197"/>
      <c r="DJ175" s="197"/>
      <c r="DK175" s="197"/>
      <c r="DL175" s="197"/>
      <c r="DM175" s="197"/>
      <c r="DN175" s="197"/>
      <c r="DO175" s="197"/>
      <c r="DP175" s="197"/>
      <c r="DQ175" s="197"/>
      <c r="DR175" s="197"/>
      <c r="DS175" s="197"/>
      <c r="DT175" s="197"/>
      <c r="DU175" s="197"/>
      <c r="DV175" s="197"/>
      <c r="DW175" s="197"/>
      <c r="DX175" s="197"/>
      <c r="DY175" s="197"/>
      <c r="DZ175" s="197"/>
      <c r="EA175" s="197"/>
      <c r="EB175" s="197"/>
      <c r="EC175" s="197"/>
      <c r="ED175" s="197"/>
      <c r="EE175" s="197"/>
      <c r="EF175" s="197"/>
      <c r="EG175" s="197"/>
      <c r="EH175" s="197"/>
      <c r="EI175" s="197"/>
      <c r="EJ175" s="197"/>
      <c r="EK175" s="197"/>
      <c r="EL175" s="197"/>
      <c r="EM175" s="197"/>
      <c r="EN175" s="197"/>
      <c r="EO175" s="197"/>
      <c r="EP175" s="197"/>
      <c r="EQ175" s="197"/>
      <c r="ER175" s="197"/>
      <c r="ES175" s="197"/>
      <c r="ET175" s="197"/>
      <c r="EU175" s="197"/>
      <c r="EV175" s="197"/>
      <c r="EW175" s="197"/>
      <c r="EX175" s="197"/>
      <c r="EY175" s="197"/>
      <c r="EZ175" s="197"/>
      <c r="FA175" s="197"/>
      <c r="FB175" s="197"/>
      <c r="FC175" s="197"/>
      <c r="FD175" s="197"/>
      <c r="FE175" s="197"/>
      <c r="FF175" s="197"/>
      <c r="FG175" s="197"/>
      <c r="FH175" s="197"/>
      <c r="FI175" s="197"/>
      <c r="FJ175" s="197"/>
      <c r="FK175" s="197"/>
      <c r="FL175" s="197"/>
      <c r="FM175" s="197"/>
      <c r="FN175" s="197"/>
      <c r="FO175" s="197"/>
      <c r="FP175" s="197"/>
      <c r="FQ175" s="197"/>
      <c r="FR175" s="197"/>
      <c r="FS175" s="197"/>
      <c r="FT175" s="197"/>
      <c r="FU175" s="197"/>
      <c r="FV175" s="197"/>
      <c r="FW175" s="197"/>
      <c r="FX175" s="197"/>
      <c r="FY175" s="197"/>
      <c r="FZ175" s="197"/>
      <c r="GA175" s="197"/>
      <c r="GB175" s="197"/>
      <c r="GC175" s="197"/>
      <c r="GD175" s="197"/>
      <c r="GE175" s="197"/>
      <c r="GF175" s="197"/>
      <c r="GG175" s="197"/>
      <c r="GH175" s="197"/>
      <c r="GI175" s="197"/>
      <c r="GJ175" s="197"/>
      <c r="GK175" s="197"/>
      <c r="GL175" s="197"/>
      <c r="GM175" s="197"/>
      <c r="GN175" s="197"/>
      <c r="GO175" s="197"/>
      <c r="GP175" s="197"/>
      <c r="GQ175" s="197"/>
      <c r="GR175" s="197"/>
      <c r="GS175" s="197"/>
      <c r="GT175" s="197"/>
      <c r="GU175" s="197"/>
      <c r="GV175" s="197"/>
      <c r="GW175" s="197"/>
      <c r="GX175" s="197"/>
      <c r="GY175" s="197"/>
      <c r="GZ175" s="197"/>
      <c r="HA175" s="197"/>
      <c r="HB175" s="197"/>
      <c r="HC175" s="197"/>
      <c r="HD175" s="197"/>
      <c r="HE175" s="197"/>
      <c r="HF175" s="197"/>
      <c r="HG175" s="197"/>
      <c r="HH175" s="197"/>
      <c r="HI175" s="197"/>
      <c r="HJ175" s="197"/>
      <c r="HK175" s="197"/>
      <c r="HL175" s="197"/>
      <c r="HM175" s="197"/>
      <c r="HN175" s="197"/>
      <c r="HO175" s="197"/>
      <c r="HP175" s="197"/>
      <c r="HQ175" s="197"/>
      <c r="HR175" s="197"/>
      <c r="HS175" s="197"/>
      <c r="HT175" s="197"/>
      <c r="HU175" s="197"/>
      <c r="HV175" s="197"/>
      <c r="HW175" s="197"/>
      <c r="HX175" s="197"/>
      <c r="HY175" s="197"/>
      <c r="HZ175" s="197"/>
      <c r="IA175" s="197"/>
      <c r="IB175" s="197"/>
      <c r="IC175" s="197"/>
      <c r="ID175" s="197"/>
      <c r="IE175" s="197"/>
      <c r="IF175" s="197"/>
      <c r="IG175" s="197"/>
      <c r="IH175" s="197"/>
      <c r="II175" s="197"/>
      <c r="IJ175" s="197"/>
      <c r="IK175" s="197"/>
      <c r="IL175" s="197"/>
      <c r="IM175" s="197"/>
      <c r="IN175" s="197"/>
      <c r="IO175" s="197"/>
    </row>
    <row r="176" spans="1:252">
      <c r="A176" s="556" t="s">
        <v>605</v>
      </c>
      <c r="B176" s="230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  <c r="BM176" s="179"/>
      <c r="BN176" s="179"/>
      <c r="BO176" s="179"/>
      <c r="BP176" s="179"/>
      <c r="BQ176" s="179"/>
      <c r="BR176" s="179"/>
      <c r="BS176" s="179"/>
      <c r="BT176" s="179"/>
      <c r="BU176" s="179"/>
      <c r="BV176" s="179"/>
      <c r="BW176" s="179"/>
      <c r="BX176" s="179"/>
      <c r="BY176" s="179"/>
      <c r="BZ176" s="179"/>
      <c r="CA176" s="179"/>
      <c r="CB176" s="179"/>
      <c r="CC176" s="179"/>
      <c r="CD176" s="179"/>
      <c r="CE176" s="179"/>
      <c r="CF176" s="179"/>
      <c r="CG176" s="179"/>
      <c r="CH176" s="179"/>
      <c r="CI176" s="179"/>
      <c r="CJ176" s="179"/>
      <c r="CK176" s="179"/>
      <c r="CL176" s="179"/>
      <c r="CM176" s="179"/>
      <c r="CN176" s="179"/>
      <c r="CO176" s="179"/>
      <c r="CP176" s="179"/>
      <c r="CQ176" s="179"/>
      <c r="CR176" s="179"/>
      <c r="CS176" s="179"/>
      <c r="CT176" s="179"/>
      <c r="CU176" s="179"/>
      <c r="CV176" s="179"/>
      <c r="CW176" s="179"/>
      <c r="CX176" s="179"/>
      <c r="CY176" s="179"/>
      <c r="CZ176" s="179"/>
      <c r="DA176" s="179"/>
      <c r="DB176" s="179"/>
      <c r="DC176" s="179"/>
      <c r="DD176" s="179"/>
      <c r="DE176" s="179"/>
      <c r="DF176" s="179"/>
      <c r="DG176" s="179"/>
      <c r="DH176" s="179"/>
      <c r="DI176" s="179"/>
      <c r="DJ176" s="179"/>
      <c r="DK176" s="179"/>
      <c r="DL176" s="179"/>
      <c r="DM176" s="179"/>
      <c r="DN176" s="179"/>
      <c r="DO176" s="179"/>
      <c r="DP176" s="179"/>
      <c r="DQ176" s="179"/>
      <c r="DR176" s="179"/>
      <c r="DS176" s="179"/>
      <c r="DT176" s="179"/>
      <c r="DU176" s="179"/>
      <c r="DV176" s="179"/>
      <c r="DW176" s="179"/>
      <c r="DX176" s="179"/>
      <c r="DY176" s="179"/>
      <c r="DZ176" s="179"/>
      <c r="EA176" s="179"/>
      <c r="EB176" s="179"/>
      <c r="EC176" s="179"/>
      <c r="ED176" s="179"/>
      <c r="EE176" s="179"/>
      <c r="EF176" s="179"/>
      <c r="EG176" s="179"/>
      <c r="EH176" s="179"/>
      <c r="EI176" s="179"/>
      <c r="EJ176" s="179"/>
      <c r="EK176" s="179"/>
      <c r="EL176" s="179"/>
      <c r="EM176" s="179"/>
      <c r="EN176" s="179"/>
      <c r="EO176" s="179"/>
      <c r="EP176" s="179"/>
      <c r="EQ176" s="179"/>
      <c r="ER176" s="179"/>
      <c r="ES176" s="179"/>
      <c r="ET176" s="179"/>
      <c r="EU176" s="179"/>
      <c r="EV176" s="179"/>
      <c r="EW176" s="179"/>
      <c r="EX176" s="179"/>
      <c r="EY176" s="179"/>
      <c r="EZ176" s="179"/>
      <c r="FA176" s="179"/>
      <c r="FB176" s="179"/>
      <c r="FC176" s="179"/>
      <c r="FD176" s="179"/>
      <c r="FE176" s="179"/>
      <c r="FF176" s="179"/>
      <c r="FG176" s="179"/>
      <c r="FH176" s="179"/>
      <c r="FI176" s="179"/>
      <c r="FJ176" s="179"/>
      <c r="FK176" s="179"/>
      <c r="FL176" s="179"/>
      <c r="FM176" s="179"/>
      <c r="FN176" s="179"/>
      <c r="FO176" s="179"/>
      <c r="FP176" s="179"/>
      <c r="FQ176" s="179"/>
      <c r="FR176" s="179"/>
      <c r="FS176" s="179"/>
      <c r="FT176" s="179"/>
      <c r="FU176" s="179"/>
      <c r="FV176" s="179"/>
      <c r="FW176" s="179"/>
      <c r="FX176" s="179"/>
      <c r="FY176" s="179"/>
      <c r="FZ176" s="179"/>
      <c r="GA176" s="179"/>
      <c r="GB176" s="179"/>
      <c r="GC176" s="179"/>
      <c r="GD176" s="179"/>
      <c r="GE176" s="179"/>
      <c r="GF176" s="179"/>
      <c r="GG176" s="179"/>
      <c r="GH176" s="179"/>
      <c r="GI176" s="179"/>
      <c r="GJ176" s="179"/>
      <c r="GK176" s="179"/>
      <c r="GL176" s="179"/>
      <c r="GM176" s="179"/>
      <c r="GN176" s="179"/>
      <c r="GO176" s="179"/>
      <c r="GP176" s="179"/>
      <c r="GQ176" s="179"/>
      <c r="GR176" s="179"/>
      <c r="GS176" s="179"/>
      <c r="GT176" s="179"/>
      <c r="GU176" s="179"/>
      <c r="GV176" s="179"/>
      <c r="GW176" s="179"/>
      <c r="GX176" s="179"/>
      <c r="GY176" s="179"/>
      <c r="GZ176" s="179"/>
      <c r="HA176" s="179"/>
      <c r="HB176" s="179"/>
      <c r="HC176" s="179"/>
      <c r="HD176" s="179"/>
      <c r="HE176" s="179"/>
      <c r="HF176" s="179"/>
      <c r="HG176" s="179"/>
      <c r="HH176" s="179"/>
      <c r="HI176" s="179"/>
      <c r="HJ176" s="179"/>
      <c r="HK176" s="179"/>
      <c r="HL176" s="179"/>
      <c r="HM176" s="179"/>
      <c r="HN176" s="179"/>
      <c r="HO176" s="179"/>
      <c r="HP176" s="179"/>
      <c r="HQ176" s="179"/>
      <c r="HR176" s="179"/>
      <c r="HS176" s="179"/>
      <c r="HT176" s="179"/>
      <c r="HU176" s="179"/>
      <c r="HV176" s="179"/>
      <c r="HW176" s="179"/>
      <c r="HX176" s="179"/>
      <c r="HY176" s="179"/>
      <c r="HZ176" s="179"/>
      <c r="IA176" s="179"/>
      <c r="IB176" s="179"/>
      <c r="IC176" s="179"/>
      <c r="ID176" s="179"/>
      <c r="IE176" s="179"/>
      <c r="IF176" s="179"/>
      <c r="IG176" s="179"/>
      <c r="IH176" s="179"/>
      <c r="II176" s="179"/>
      <c r="IJ176" s="179"/>
      <c r="IK176" s="179"/>
      <c r="IL176" s="179"/>
      <c r="IM176" s="179"/>
      <c r="IN176" s="179"/>
      <c r="IO176" s="179"/>
      <c r="IP176" s="179"/>
      <c r="IQ176" s="179"/>
      <c r="IR176" s="179"/>
    </row>
    <row r="178" spans="1:2">
      <c r="A178" s="321" t="s">
        <v>519</v>
      </c>
      <c r="B178">
        <f>5.94*B152*12</f>
        <v>182776.17600000001</v>
      </c>
    </row>
    <row r="179" spans="1:2">
      <c r="B179" s="276">
        <f>B161+B178</f>
        <v>758983.79787482927</v>
      </c>
    </row>
    <row r="180" spans="1:2">
      <c r="B180">
        <f>B179/B161</f>
        <v>1.3172054118362648</v>
      </c>
    </row>
  </sheetData>
  <mergeCells count="4">
    <mergeCell ref="A1:B1"/>
    <mergeCell ref="A2:B2"/>
    <mergeCell ref="A3:B3"/>
    <mergeCell ref="A148:B14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opLeftCell="A7" workbookViewId="0">
      <selection activeCell="D18" sqref="D18:D19"/>
    </sheetView>
  </sheetViews>
  <sheetFormatPr defaultRowHeight="15"/>
  <cols>
    <col min="1" max="1" width="87.28515625" customWidth="1"/>
    <col min="2" max="2" width="3.28515625" hidden="1" customWidth="1"/>
    <col min="3" max="3" width="26.85546875" customWidth="1"/>
  </cols>
  <sheetData>
    <row r="1" spans="1:4" ht="15.75">
      <c r="A1" s="701" t="s">
        <v>230</v>
      </c>
      <c r="B1" s="701"/>
      <c r="C1" s="701"/>
      <c r="D1" s="701"/>
    </row>
    <row r="2" spans="1:4" ht="15.75">
      <c r="A2" s="702" t="s">
        <v>250</v>
      </c>
      <c r="B2" s="702"/>
      <c r="C2" s="702"/>
      <c r="D2" s="702"/>
    </row>
    <row r="3" spans="1:4" s="55" customFormat="1" ht="15.75">
      <c r="A3" s="702" t="s">
        <v>337</v>
      </c>
      <c r="B3" s="702"/>
      <c r="C3" s="702"/>
      <c r="D3" s="702"/>
    </row>
    <row r="4" spans="1:4" s="55" customFormat="1" ht="15.75">
      <c r="A4" s="96"/>
      <c r="B4" s="96"/>
      <c r="C4" s="86"/>
      <c r="D4" s="86"/>
    </row>
    <row r="5" spans="1:4" ht="30">
      <c r="A5" s="712" t="s">
        <v>229</v>
      </c>
      <c r="B5" s="713"/>
      <c r="C5" s="83" t="s">
        <v>238</v>
      </c>
      <c r="D5" s="82" t="s">
        <v>300</v>
      </c>
    </row>
    <row r="6" spans="1:4">
      <c r="A6" s="712" t="s">
        <v>229</v>
      </c>
      <c r="B6" s="713"/>
      <c r="C6" s="73"/>
      <c r="D6" s="73"/>
    </row>
    <row r="7" spans="1:4" ht="15.75" thickBot="1">
      <c r="A7" s="706" t="s">
        <v>0</v>
      </c>
      <c r="B7" s="707"/>
      <c r="C7" s="75"/>
      <c r="D7" s="75"/>
    </row>
    <row r="8" spans="1:4" ht="15.75" thickBot="1">
      <c r="A8" s="708" t="s">
        <v>29</v>
      </c>
      <c r="B8" s="709"/>
      <c r="C8" s="76"/>
      <c r="D8" s="76"/>
    </row>
    <row r="9" spans="1:4" ht="15.75" thickBot="1">
      <c r="A9" s="710" t="s">
        <v>255</v>
      </c>
      <c r="B9" s="711"/>
      <c r="C9" s="76"/>
      <c r="D9" s="76"/>
    </row>
    <row r="10" spans="1:4" ht="15.75" thickBot="1">
      <c r="A10" s="716" t="s">
        <v>56</v>
      </c>
      <c r="B10" s="717"/>
      <c r="C10" s="76"/>
      <c r="D10" s="76"/>
    </row>
    <row r="11" spans="1:4" ht="15.75" thickBot="1">
      <c r="A11" s="102" t="s">
        <v>280</v>
      </c>
      <c r="B11" s="103"/>
      <c r="C11" s="76"/>
      <c r="D11" s="76"/>
    </row>
    <row r="12" spans="1:4" ht="15.75" thickBot="1">
      <c r="A12" s="718" t="s">
        <v>57</v>
      </c>
      <c r="B12" s="719"/>
      <c r="C12" s="76"/>
      <c r="D12" s="76"/>
    </row>
    <row r="13" spans="1:4" s="73" customFormat="1" ht="30" customHeight="1" thickBot="1">
      <c r="A13" s="720" t="s">
        <v>284</v>
      </c>
      <c r="B13" s="721"/>
      <c r="C13" s="80" t="s">
        <v>285</v>
      </c>
      <c r="D13" s="76">
        <v>6</v>
      </c>
    </row>
    <row r="14" spans="1:4" ht="15.75" thickBot="1">
      <c r="A14" s="722" t="s">
        <v>64</v>
      </c>
      <c r="B14" s="716"/>
      <c r="C14" s="76"/>
      <c r="D14" s="76"/>
    </row>
    <row r="15" spans="1:4">
      <c r="A15" s="723" t="s">
        <v>66</v>
      </c>
      <c r="B15" s="724"/>
      <c r="C15" s="76"/>
      <c r="D15" s="76"/>
    </row>
    <row r="16" spans="1:4">
      <c r="A16" s="60" t="s">
        <v>68</v>
      </c>
      <c r="B16" s="61"/>
      <c r="C16" s="76"/>
      <c r="D16" s="76"/>
    </row>
    <row r="17" spans="1:4">
      <c r="A17" s="725" t="s">
        <v>90</v>
      </c>
      <c r="B17" s="726"/>
      <c r="C17" s="76"/>
      <c r="D17" s="76"/>
    </row>
    <row r="18" spans="1:4" s="73" customFormat="1" ht="15" customHeight="1">
      <c r="A18" s="714" t="s">
        <v>338</v>
      </c>
      <c r="B18" s="715"/>
      <c r="C18" s="72" t="s">
        <v>286</v>
      </c>
      <c r="D18" s="72">
        <v>2</v>
      </c>
    </row>
    <row r="19" spans="1:4" s="73" customFormat="1" ht="17.25" customHeight="1">
      <c r="A19" s="714" t="s">
        <v>346</v>
      </c>
      <c r="B19" s="715"/>
      <c r="C19" s="94" t="s">
        <v>316</v>
      </c>
      <c r="D19" s="72">
        <v>6</v>
      </c>
    </row>
    <row r="20" spans="1:4" s="73" customFormat="1">
      <c r="A20" s="728" t="s">
        <v>318</v>
      </c>
      <c r="B20" s="729"/>
      <c r="C20" s="76" t="s">
        <v>260</v>
      </c>
      <c r="D20" s="76">
        <v>1.5</v>
      </c>
    </row>
    <row r="21" spans="1:4" s="73" customFormat="1">
      <c r="A21" s="104"/>
      <c r="B21" s="105"/>
      <c r="C21" s="76"/>
      <c r="D21" s="76"/>
    </row>
    <row r="22" spans="1:4" ht="15.75" customHeight="1">
      <c r="A22" s="730" t="s">
        <v>303</v>
      </c>
      <c r="B22" s="731"/>
      <c r="C22" s="76" t="s">
        <v>253</v>
      </c>
      <c r="D22" s="76">
        <f>2+2</f>
        <v>4</v>
      </c>
    </row>
    <row r="23" spans="1:4" ht="15.75" customHeight="1">
      <c r="A23" s="730" t="s">
        <v>304</v>
      </c>
      <c r="B23" s="731"/>
      <c r="C23" s="76" t="s">
        <v>275</v>
      </c>
      <c r="D23" s="76">
        <v>2</v>
      </c>
    </row>
    <row r="24" spans="1:4" ht="15.75" customHeight="1">
      <c r="A24" s="730" t="s">
        <v>301</v>
      </c>
      <c r="B24" s="731"/>
      <c r="C24" s="76" t="s">
        <v>290</v>
      </c>
      <c r="D24" s="76">
        <v>1.5</v>
      </c>
    </row>
    <row r="25" spans="1:4" ht="15.75" customHeight="1">
      <c r="A25" s="739" t="s">
        <v>302</v>
      </c>
      <c r="B25" s="739"/>
      <c r="C25" s="76" t="s">
        <v>253</v>
      </c>
      <c r="D25" s="76">
        <v>3.5</v>
      </c>
    </row>
    <row r="26" spans="1:4" ht="15.75" customHeight="1">
      <c r="A26" s="93"/>
      <c r="B26" s="71"/>
      <c r="C26" s="76"/>
      <c r="D26" s="76"/>
    </row>
    <row r="27" spans="1:4" ht="15.75" customHeight="1" thickBot="1">
      <c r="A27" s="93"/>
      <c r="B27" s="71"/>
      <c r="C27" s="76"/>
      <c r="D27" s="76"/>
    </row>
    <row r="28" spans="1:4" ht="15.75" thickBot="1">
      <c r="A28" s="716" t="s">
        <v>99</v>
      </c>
      <c r="B28" s="717"/>
      <c r="C28" s="76"/>
      <c r="D28" s="76"/>
    </row>
    <row r="29" spans="1:4" ht="30.75" thickBot="1">
      <c r="A29" s="732" t="s">
        <v>100</v>
      </c>
      <c r="B29" s="733"/>
      <c r="C29" s="77" t="s">
        <v>279</v>
      </c>
      <c r="D29" s="77" t="s">
        <v>278</v>
      </c>
    </row>
    <row r="30" spans="1:4" ht="15.75" thickBot="1">
      <c r="A30" s="716" t="s">
        <v>101</v>
      </c>
      <c r="B30" s="717"/>
      <c r="C30" s="76"/>
      <c r="D30" s="76"/>
    </row>
    <row r="31" spans="1:4" ht="15.75" thickBot="1">
      <c r="A31" s="734" t="s">
        <v>102</v>
      </c>
      <c r="B31" s="718"/>
      <c r="C31" s="76" t="s">
        <v>241</v>
      </c>
      <c r="D31" s="76"/>
    </row>
    <row r="32" spans="1:4" s="73" customFormat="1">
      <c r="A32" s="91" t="s">
        <v>322</v>
      </c>
      <c r="B32" s="70"/>
      <c r="C32" s="76" t="s">
        <v>241</v>
      </c>
      <c r="D32" s="76">
        <v>1.5</v>
      </c>
    </row>
    <row r="33" spans="1:4">
      <c r="A33" s="91" t="s">
        <v>252</v>
      </c>
      <c r="B33" s="70"/>
      <c r="C33" s="76"/>
      <c r="D33" s="76">
        <v>1.5</v>
      </c>
    </row>
    <row r="34" spans="1:4" ht="15.75" thickBot="1">
      <c r="A34" s="735" t="s">
        <v>281</v>
      </c>
      <c r="B34" s="736"/>
      <c r="C34" s="76"/>
      <c r="D34" s="76"/>
    </row>
    <row r="35" spans="1:4" ht="15.75" thickBot="1">
      <c r="A35" s="737" t="s">
        <v>104</v>
      </c>
      <c r="B35" s="738"/>
      <c r="C35" s="76"/>
      <c r="D35" s="76"/>
    </row>
    <row r="36" spans="1:4">
      <c r="A36" s="78"/>
      <c r="B36" s="78"/>
      <c r="C36" s="75"/>
      <c r="D36" s="75"/>
    </row>
    <row r="37" spans="1:4" ht="15.75">
      <c r="A37" s="727" t="s">
        <v>233</v>
      </c>
      <c r="B37" s="727"/>
      <c r="C37" s="727"/>
      <c r="D37" s="727"/>
    </row>
    <row r="38" spans="1:4">
      <c r="A38" s="75"/>
      <c r="B38" s="75"/>
      <c r="C38" s="75"/>
      <c r="D38" s="75"/>
    </row>
    <row r="39" spans="1:4" ht="15.75">
      <c r="A39" s="727" t="s">
        <v>234</v>
      </c>
      <c r="B39" s="727"/>
      <c r="C39" s="727"/>
      <c r="D39" s="727"/>
    </row>
    <row r="40" spans="1:4">
      <c r="A40" s="75"/>
      <c r="B40" s="75"/>
      <c r="C40" s="75"/>
      <c r="D40" s="75"/>
    </row>
  </sheetData>
  <mergeCells count="29">
    <mergeCell ref="A37:D37"/>
    <mergeCell ref="A39:D39"/>
    <mergeCell ref="A19:B19"/>
    <mergeCell ref="A20:B20"/>
    <mergeCell ref="A22:B22"/>
    <mergeCell ref="A28:B28"/>
    <mergeCell ref="A29:B29"/>
    <mergeCell ref="A30:B30"/>
    <mergeCell ref="A31:B31"/>
    <mergeCell ref="A34:B34"/>
    <mergeCell ref="A35:B35"/>
    <mergeCell ref="A24:B24"/>
    <mergeCell ref="A25:B25"/>
    <mergeCell ref="A23:B23"/>
    <mergeCell ref="A18:B18"/>
    <mergeCell ref="A10:B10"/>
    <mergeCell ref="A12:B12"/>
    <mergeCell ref="A13:B13"/>
    <mergeCell ref="A14:B14"/>
    <mergeCell ref="A15:B15"/>
    <mergeCell ref="A17:B17"/>
    <mergeCell ref="A7:B7"/>
    <mergeCell ref="A8:B8"/>
    <mergeCell ref="A9:B9"/>
    <mergeCell ref="A1:D1"/>
    <mergeCell ref="A2:D2"/>
    <mergeCell ref="A3:D3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57"/>
  <sheetViews>
    <sheetView topLeftCell="A222" workbookViewId="0">
      <selection activeCell="A228" sqref="A228:B253"/>
    </sheetView>
  </sheetViews>
  <sheetFormatPr defaultRowHeight="15"/>
  <cols>
    <col min="1" max="1" width="93.85546875" customWidth="1"/>
    <col min="2" max="2" width="12" customWidth="1"/>
  </cols>
  <sheetData>
    <row r="1" spans="1:4" s="73" customFormat="1" ht="15.75">
      <c r="A1" s="701" t="s">
        <v>230</v>
      </c>
      <c r="B1" s="701"/>
    </row>
    <row r="2" spans="1:4" s="73" customFormat="1" ht="15.75">
      <c r="A2" s="702" t="s">
        <v>244</v>
      </c>
      <c r="B2" s="702"/>
    </row>
    <row r="3" spans="1:4" s="86" customFormat="1" ht="15.75">
      <c r="A3" s="702" t="s">
        <v>2424</v>
      </c>
      <c r="B3" s="702"/>
    </row>
    <row r="4" spans="1:4" s="86" customFormat="1" ht="15.75">
      <c r="A4" s="569"/>
    </row>
    <row r="5" spans="1:4" s="73" customFormat="1" ht="46.5" customHeight="1">
      <c r="A5" s="570" t="s">
        <v>229</v>
      </c>
      <c r="B5" s="82" t="s">
        <v>523</v>
      </c>
    </row>
    <row r="6" spans="1:4" s="73" customFormat="1" ht="15.75" thickBot="1">
      <c r="A6" s="337" t="s">
        <v>0</v>
      </c>
    </row>
    <row r="7" spans="1:4" s="73" customFormat="1" ht="15.75" thickBot="1">
      <c r="A7" s="571" t="s">
        <v>29</v>
      </c>
      <c r="B7" s="72"/>
    </row>
    <row r="8" spans="1:4" s="73" customFormat="1" ht="15.75" thickBot="1">
      <c r="A8" s="574" t="s">
        <v>56</v>
      </c>
      <c r="B8" s="72"/>
    </row>
    <row r="9" spans="1:4" s="73" customFormat="1" ht="15.75" thickBot="1">
      <c r="A9" s="571" t="s">
        <v>57</v>
      </c>
      <c r="B9" s="72"/>
    </row>
    <row r="10" spans="1:4" s="73" customFormat="1" ht="44.25" customHeight="1" thickBot="1">
      <c r="A10" s="581" t="s">
        <v>2425</v>
      </c>
      <c r="B10" s="72">
        <v>2</v>
      </c>
      <c r="D10" s="73">
        <v>1</v>
      </c>
    </row>
    <row r="11" spans="1:4" s="73" customFormat="1" ht="29.25" thickBot="1">
      <c r="A11" s="581" t="s">
        <v>2426</v>
      </c>
      <c r="B11" s="72">
        <v>3</v>
      </c>
    </row>
    <row r="12" spans="1:4" s="73" customFormat="1" ht="29.25" thickBot="1">
      <c r="A12" s="581" t="s">
        <v>2427</v>
      </c>
      <c r="B12" s="72">
        <v>5</v>
      </c>
    </row>
    <row r="13" spans="1:4" s="73" customFormat="1" ht="28.5">
      <c r="A13" s="572" t="s">
        <v>2428</v>
      </c>
      <c r="B13" s="72">
        <v>2</v>
      </c>
    </row>
    <row r="14" spans="1:4" s="73" customFormat="1" ht="33" customHeight="1">
      <c r="A14" s="572" t="s">
        <v>2429</v>
      </c>
      <c r="B14" s="72">
        <v>2</v>
      </c>
      <c r="D14" s="73">
        <v>1.2</v>
      </c>
    </row>
    <row r="15" spans="1:4" s="73" customFormat="1">
      <c r="A15" s="573" t="s">
        <v>2447</v>
      </c>
      <c r="B15" s="72">
        <v>4</v>
      </c>
    </row>
    <row r="16" spans="1:4" s="73" customFormat="1" ht="35.25" customHeight="1">
      <c r="A16" s="572" t="s">
        <v>2457</v>
      </c>
      <c r="B16" s="72">
        <v>4</v>
      </c>
    </row>
    <row r="17" spans="1:4" s="73" customFormat="1">
      <c r="A17" s="572" t="s">
        <v>2473</v>
      </c>
      <c r="B17" s="72">
        <v>2</v>
      </c>
    </row>
    <row r="18" spans="1:4" s="73" customFormat="1" ht="15" customHeight="1">
      <c r="A18" s="578" t="s">
        <v>2494</v>
      </c>
      <c r="B18" s="72">
        <v>6</v>
      </c>
    </row>
    <row r="19" spans="1:4" s="73" customFormat="1" ht="22.5" customHeight="1">
      <c r="A19" s="578" t="s">
        <v>2495</v>
      </c>
      <c r="B19" s="72"/>
    </row>
    <row r="20" spans="1:4" s="73" customFormat="1" ht="19.5" customHeight="1">
      <c r="A20" s="578" t="s">
        <v>2496</v>
      </c>
      <c r="B20" s="72">
        <v>3</v>
      </c>
    </row>
    <row r="21" spans="1:4" s="73" customFormat="1" ht="28.5">
      <c r="A21" s="579" t="s">
        <v>2537</v>
      </c>
      <c r="B21" s="72">
        <v>2</v>
      </c>
    </row>
    <row r="22" spans="1:4" s="73" customFormat="1" ht="28.5">
      <c r="A22" s="579" t="s">
        <v>2539</v>
      </c>
      <c r="B22" s="72">
        <v>1</v>
      </c>
    </row>
    <row r="23" spans="1:4" s="73" customFormat="1" ht="35.25" customHeight="1">
      <c r="A23" s="577" t="s">
        <v>2538</v>
      </c>
      <c r="B23" s="72">
        <v>6</v>
      </c>
    </row>
    <row r="24" spans="1:4" s="73" customFormat="1">
      <c r="A24" s="579" t="s">
        <v>2540</v>
      </c>
      <c r="B24" s="72">
        <v>6</v>
      </c>
    </row>
    <row r="25" spans="1:4" s="73" customFormat="1" ht="28.5">
      <c r="A25" s="579" t="s">
        <v>2541</v>
      </c>
      <c r="B25" s="72">
        <v>4</v>
      </c>
      <c r="D25" s="73">
        <v>1</v>
      </c>
    </row>
    <row r="26" spans="1:4" s="73" customFormat="1">
      <c r="A26" s="72" t="s">
        <v>2551</v>
      </c>
      <c r="B26" s="72">
        <v>8</v>
      </c>
      <c r="D26" s="73">
        <v>1</v>
      </c>
    </row>
    <row r="27" spans="1:4" s="73" customFormat="1">
      <c r="A27" s="579" t="s">
        <v>2552</v>
      </c>
      <c r="B27" s="72">
        <v>4</v>
      </c>
      <c r="D27" s="73">
        <v>1</v>
      </c>
    </row>
    <row r="28" spans="1:4" s="73" customFormat="1" ht="28.5">
      <c r="A28" s="579" t="s">
        <v>2553</v>
      </c>
      <c r="B28" s="72">
        <v>2</v>
      </c>
    </row>
    <row r="29" spans="1:4" s="73" customFormat="1" ht="33" customHeight="1">
      <c r="A29" s="579" t="s">
        <v>2561</v>
      </c>
      <c r="B29" s="72">
        <v>4</v>
      </c>
    </row>
    <row r="30" spans="1:4" s="73" customFormat="1" ht="27" customHeight="1">
      <c r="A30" s="80" t="s">
        <v>425</v>
      </c>
      <c r="B30" s="76">
        <v>1</v>
      </c>
      <c r="C30" s="75"/>
    </row>
    <row r="31" spans="1:4" s="73" customFormat="1" ht="45" customHeight="1">
      <c r="A31" s="530" t="s">
        <v>426</v>
      </c>
      <c r="B31" s="76">
        <v>2</v>
      </c>
    </row>
    <row r="32" spans="1:4" s="73" customFormat="1" ht="12.75" customHeight="1">
      <c r="A32" s="530" t="s">
        <v>416</v>
      </c>
      <c r="B32" s="76">
        <v>1.5</v>
      </c>
    </row>
    <row r="33" spans="1:2" s="73" customFormat="1">
      <c r="A33" s="530" t="s">
        <v>417</v>
      </c>
      <c r="B33" s="76">
        <v>3</v>
      </c>
    </row>
    <row r="34" spans="1:2" s="73" customFormat="1" ht="32.25" customHeight="1">
      <c r="A34" s="529" t="s">
        <v>626</v>
      </c>
      <c r="B34" s="76">
        <v>2</v>
      </c>
    </row>
    <row r="35" spans="1:2" s="73" customFormat="1" ht="32.25" customHeight="1">
      <c r="A35" s="547" t="s">
        <v>639</v>
      </c>
      <c r="B35" s="76">
        <v>1</v>
      </c>
    </row>
    <row r="36" spans="1:2" s="73" customFormat="1" ht="32.25" customHeight="1">
      <c r="A36" s="547" t="s">
        <v>640</v>
      </c>
      <c r="B36" s="76">
        <v>4</v>
      </c>
    </row>
    <row r="37" spans="1:2" s="73" customFormat="1" ht="24" customHeight="1">
      <c r="A37" s="547" t="s">
        <v>638</v>
      </c>
      <c r="B37" s="76">
        <v>2</v>
      </c>
    </row>
    <row r="38" spans="1:2" s="73" customFormat="1" ht="21" customHeight="1">
      <c r="A38" s="547" t="s">
        <v>629</v>
      </c>
      <c r="B38" s="76">
        <v>2</v>
      </c>
    </row>
    <row r="39" spans="1:2" s="73" customFormat="1" ht="30" customHeight="1">
      <c r="A39" s="547" t="s">
        <v>628</v>
      </c>
      <c r="B39" s="76">
        <v>6</v>
      </c>
    </row>
    <row r="40" spans="1:2" s="73" customFormat="1" ht="30" customHeight="1">
      <c r="A40" s="547" t="s">
        <v>636</v>
      </c>
      <c r="B40" s="76">
        <v>2</v>
      </c>
    </row>
    <row r="41" spans="1:2" s="73" customFormat="1" ht="30" customHeight="1">
      <c r="A41" s="547" t="s">
        <v>637</v>
      </c>
      <c r="B41" s="76">
        <v>1</v>
      </c>
    </row>
    <row r="42" spans="1:2" s="73" customFormat="1" ht="20.25" customHeight="1">
      <c r="A42" s="547" t="s">
        <v>627</v>
      </c>
      <c r="B42" s="76">
        <v>1.5</v>
      </c>
    </row>
    <row r="43" spans="1:2" s="73" customFormat="1" ht="20.25" customHeight="1">
      <c r="A43" s="547" t="s">
        <v>635</v>
      </c>
      <c r="B43" s="76">
        <v>2</v>
      </c>
    </row>
    <row r="44" spans="1:2" s="73" customFormat="1" ht="20.25" customHeight="1">
      <c r="A44" s="547" t="s">
        <v>634</v>
      </c>
      <c r="B44" s="76">
        <v>2</v>
      </c>
    </row>
    <row r="45" spans="1:2" s="73" customFormat="1">
      <c r="A45" s="575" t="s">
        <v>66</v>
      </c>
      <c r="B45" s="72"/>
    </row>
    <row r="46" spans="1:2" s="73" customFormat="1" ht="28.5">
      <c r="A46" s="400" t="s">
        <v>2436</v>
      </c>
      <c r="B46" s="72">
        <v>1</v>
      </c>
    </row>
    <row r="47" spans="1:2" s="73" customFormat="1" ht="15" customHeight="1">
      <c r="A47" s="84" t="s">
        <v>2497</v>
      </c>
      <c r="B47" s="72">
        <v>1</v>
      </c>
    </row>
    <row r="48" spans="1:2" s="73" customFormat="1" ht="15" customHeight="1">
      <c r="A48" s="84" t="s">
        <v>2556</v>
      </c>
      <c r="B48" s="72">
        <v>2</v>
      </c>
    </row>
    <row r="49" spans="1:2" s="73" customFormat="1" ht="16.5" customHeight="1">
      <c r="A49" s="84" t="s">
        <v>2557</v>
      </c>
      <c r="B49" s="72">
        <v>1</v>
      </c>
    </row>
    <row r="50" spans="1:2" s="73" customFormat="1" ht="31.5" customHeight="1">
      <c r="A50" s="97" t="s">
        <v>2562</v>
      </c>
      <c r="B50" s="72">
        <v>2</v>
      </c>
    </row>
    <row r="51" spans="1:2" s="73" customFormat="1" ht="30" customHeight="1">
      <c r="A51" s="580" t="s">
        <v>2597</v>
      </c>
      <c r="B51" s="72">
        <v>2</v>
      </c>
    </row>
    <row r="52" spans="1:2" s="73" customFormat="1" ht="30" customHeight="1">
      <c r="A52" s="580" t="s">
        <v>2598</v>
      </c>
      <c r="B52" s="72">
        <v>2</v>
      </c>
    </row>
    <row r="53" spans="1:2" s="73" customFormat="1" ht="15" customHeight="1">
      <c r="A53" s="62" t="s">
        <v>419</v>
      </c>
      <c r="B53" s="76">
        <v>0.5</v>
      </c>
    </row>
    <row r="54" spans="1:2" s="73" customFormat="1" ht="15" customHeight="1">
      <c r="A54" s="62" t="s">
        <v>287</v>
      </c>
      <c r="B54" s="76">
        <v>0.6</v>
      </c>
    </row>
    <row r="55" spans="1:2" s="73" customFormat="1" ht="15" customHeight="1">
      <c r="A55" s="62" t="s">
        <v>288</v>
      </c>
      <c r="B55" s="76">
        <v>0.3</v>
      </c>
    </row>
    <row r="56" spans="1:2" s="73" customFormat="1" ht="15" customHeight="1">
      <c r="A56" s="62" t="s">
        <v>296</v>
      </c>
      <c r="B56" s="76">
        <v>2.7</v>
      </c>
    </row>
    <row r="57" spans="1:2" s="73" customFormat="1" ht="15" customHeight="1">
      <c r="A57" s="64" t="s">
        <v>297</v>
      </c>
      <c r="B57" s="76">
        <v>2.8</v>
      </c>
    </row>
    <row r="58" spans="1:2" s="73" customFormat="1" ht="15" customHeight="1">
      <c r="A58" s="62" t="s">
        <v>345</v>
      </c>
      <c r="B58" s="76">
        <v>3</v>
      </c>
    </row>
    <row r="59" spans="1:2" s="73" customFormat="1" ht="33.75" customHeight="1">
      <c r="A59" s="461" t="s">
        <v>624</v>
      </c>
      <c r="B59" s="76">
        <v>2</v>
      </c>
    </row>
    <row r="60" spans="1:2" s="73" customFormat="1" ht="17.25" customHeight="1">
      <c r="A60" s="461" t="s">
        <v>625</v>
      </c>
      <c r="B60" s="76">
        <v>2</v>
      </c>
    </row>
    <row r="61" spans="1:2" s="73" customFormat="1">
      <c r="A61" s="62" t="s">
        <v>348</v>
      </c>
      <c r="B61" s="76">
        <v>2</v>
      </c>
    </row>
    <row r="62" spans="1:2" s="73" customFormat="1" ht="15" customHeight="1">
      <c r="A62" s="62" t="s">
        <v>420</v>
      </c>
      <c r="B62" s="76">
        <v>3</v>
      </c>
    </row>
    <row r="63" spans="1:2" s="73" customFormat="1">
      <c r="A63" s="62" t="s">
        <v>421</v>
      </c>
      <c r="B63" s="76">
        <v>4</v>
      </c>
    </row>
    <row r="64" spans="1:2" s="73" customFormat="1" ht="15" customHeight="1">
      <c r="A64" s="62" t="s">
        <v>422</v>
      </c>
      <c r="B64" s="76">
        <v>1</v>
      </c>
    </row>
    <row r="65" spans="1:2" s="73" customFormat="1">
      <c r="A65" s="62" t="s">
        <v>423</v>
      </c>
      <c r="B65" s="76">
        <v>4</v>
      </c>
    </row>
    <row r="66" spans="1:2" s="73" customFormat="1" ht="33.75" customHeight="1">
      <c r="A66" s="461" t="s">
        <v>427</v>
      </c>
      <c r="B66" s="76">
        <v>1</v>
      </c>
    </row>
    <row r="67" spans="1:2" s="73" customFormat="1" ht="18.75" customHeight="1">
      <c r="A67" s="461" t="s">
        <v>630</v>
      </c>
      <c r="B67" s="76">
        <v>0.5</v>
      </c>
    </row>
    <row r="68" spans="1:2" s="73" customFormat="1" ht="33.75" customHeight="1">
      <c r="A68" s="461" t="s">
        <v>632</v>
      </c>
      <c r="B68" s="76">
        <v>2</v>
      </c>
    </row>
    <row r="69" spans="1:2" s="73" customFormat="1" ht="33.75" customHeight="1">
      <c r="A69" s="461" t="s">
        <v>631</v>
      </c>
      <c r="B69" s="76">
        <v>1.5</v>
      </c>
    </row>
    <row r="70" spans="1:2" s="73" customFormat="1" ht="33.75" customHeight="1">
      <c r="A70" s="461" t="s">
        <v>633</v>
      </c>
      <c r="B70" s="76">
        <v>1</v>
      </c>
    </row>
    <row r="71" spans="1:2" s="73" customFormat="1">
      <c r="A71" s="576" t="s">
        <v>590</v>
      </c>
      <c r="B71" s="72"/>
    </row>
    <row r="72" spans="1:2" s="73" customFormat="1" ht="28.5">
      <c r="A72" s="400" t="s">
        <v>2430</v>
      </c>
      <c r="B72" s="72">
        <v>6</v>
      </c>
    </row>
    <row r="73" spans="1:2" s="73" customFormat="1">
      <c r="A73" s="400" t="s">
        <v>2431</v>
      </c>
      <c r="B73" s="72"/>
    </row>
    <row r="74" spans="1:2" s="73" customFormat="1">
      <c r="A74" s="400" t="s">
        <v>2432</v>
      </c>
      <c r="B74" s="72">
        <v>2</v>
      </c>
    </row>
    <row r="75" spans="1:2" s="73" customFormat="1">
      <c r="A75" s="400" t="s">
        <v>2433</v>
      </c>
      <c r="B75" s="72">
        <v>1</v>
      </c>
    </row>
    <row r="76" spans="1:2" s="73" customFormat="1">
      <c r="A76" s="400" t="s">
        <v>2434</v>
      </c>
      <c r="B76" s="72">
        <v>2</v>
      </c>
    </row>
    <row r="77" spans="1:2" s="73" customFormat="1">
      <c r="A77" s="400" t="s">
        <v>2435</v>
      </c>
      <c r="B77" s="72">
        <v>4</v>
      </c>
    </row>
    <row r="78" spans="1:2" ht="28.5">
      <c r="A78" s="400" t="s">
        <v>2437</v>
      </c>
      <c r="B78" s="127">
        <v>4</v>
      </c>
    </row>
    <row r="79" spans="1:2" ht="28.5">
      <c r="A79" s="400" t="s">
        <v>2438</v>
      </c>
      <c r="B79" s="127">
        <v>4</v>
      </c>
    </row>
    <row r="80" spans="1:2" ht="18.75" customHeight="1">
      <c r="A80" s="400" t="s">
        <v>2439</v>
      </c>
      <c r="B80" s="127">
        <v>2</v>
      </c>
    </row>
    <row r="81" spans="1:2" ht="30.75" customHeight="1">
      <c r="A81" s="400" t="s">
        <v>2440</v>
      </c>
      <c r="B81" s="127">
        <v>1</v>
      </c>
    </row>
    <row r="82" spans="1:2" ht="18" customHeight="1">
      <c r="A82" s="400" t="s">
        <v>2441</v>
      </c>
      <c r="B82" s="127">
        <v>2</v>
      </c>
    </row>
    <row r="83" spans="1:2" ht="18" customHeight="1">
      <c r="A83" s="400" t="s">
        <v>2448</v>
      </c>
      <c r="B83" s="127"/>
    </row>
    <row r="84" spans="1:2" s="73" customFormat="1">
      <c r="A84" s="400" t="s">
        <v>2449</v>
      </c>
      <c r="B84" s="72">
        <v>3</v>
      </c>
    </row>
    <row r="85" spans="1:2" s="73" customFormat="1" ht="28.5">
      <c r="A85" s="400" t="s">
        <v>2054</v>
      </c>
      <c r="B85" s="72">
        <v>1</v>
      </c>
    </row>
    <row r="86" spans="1:2" s="73" customFormat="1">
      <c r="A86" s="400" t="s">
        <v>2450</v>
      </c>
      <c r="B86" s="72">
        <v>2</v>
      </c>
    </row>
    <row r="87" spans="1:2" s="73" customFormat="1">
      <c r="A87" s="400" t="s">
        <v>2451</v>
      </c>
      <c r="B87" s="72">
        <v>1</v>
      </c>
    </row>
    <row r="88" spans="1:2" s="73" customFormat="1" ht="28.5">
      <c r="A88" s="400" t="s">
        <v>2452</v>
      </c>
      <c r="B88" s="72">
        <v>6</v>
      </c>
    </row>
    <row r="89" spans="1:2" s="73" customFormat="1">
      <c r="A89" s="400" t="s">
        <v>2458</v>
      </c>
      <c r="B89" s="72">
        <v>4</v>
      </c>
    </row>
    <row r="90" spans="1:2" s="73" customFormat="1">
      <c r="A90" s="400" t="s">
        <v>2459</v>
      </c>
      <c r="B90" s="72"/>
    </row>
    <row r="91" spans="1:2" s="73" customFormat="1" ht="24" customHeight="1">
      <c r="A91" s="400" t="s">
        <v>2460</v>
      </c>
      <c r="B91" s="72">
        <v>1</v>
      </c>
    </row>
    <row r="92" spans="1:2" s="73" customFormat="1" ht="24" customHeight="1">
      <c r="A92" s="400" t="s">
        <v>2461</v>
      </c>
      <c r="B92" s="72">
        <v>4</v>
      </c>
    </row>
    <row r="93" spans="1:2" s="73" customFormat="1" ht="28.5">
      <c r="A93" s="400" t="s">
        <v>2794</v>
      </c>
      <c r="B93" s="72">
        <v>1</v>
      </c>
    </row>
    <row r="94" spans="1:2" s="73" customFormat="1" ht="29.25" customHeight="1">
      <c r="A94" s="400" t="s">
        <v>2474</v>
      </c>
      <c r="B94" s="72">
        <v>1</v>
      </c>
    </row>
    <row r="95" spans="1:2" s="73" customFormat="1" ht="15.75" customHeight="1">
      <c r="A95" s="400" t="s">
        <v>2475</v>
      </c>
      <c r="B95" s="72">
        <v>4</v>
      </c>
    </row>
    <row r="96" spans="1:2" s="73" customFormat="1" ht="15.75" customHeight="1">
      <c r="A96" s="400" t="s">
        <v>2476</v>
      </c>
      <c r="B96" s="72">
        <v>2</v>
      </c>
    </row>
    <row r="97" spans="1:2" s="73" customFormat="1" ht="15.75" customHeight="1">
      <c r="A97" s="400" t="s">
        <v>2477</v>
      </c>
      <c r="B97" s="72">
        <v>4</v>
      </c>
    </row>
    <row r="98" spans="1:2" s="73" customFormat="1" ht="15.75" customHeight="1">
      <c r="A98" s="400" t="s">
        <v>2479</v>
      </c>
      <c r="B98" s="72">
        <v>2</v>
      </c>
    </row>
    <row r="99" spans="1:2" s="73" customFormat="1" ht="15.75" customHeight="1">
      <c r="A99" s="400" t="s">
        <v>2478</v>
      </c>
      <c r="B99" s="72">
        <v>1</v>
      </c>
    </row>
    <row r="100" spans="1:2" s="73" customFormat="1" ht="15.75" customHeight="1">
      <c r="A100" s="400" t="s">
        <v>2480</v>
      </c>
      <c r="B100" s="72">
        <v>4</v>
      </c>
    </row>
    <row r="101" spans="1:2" s="73" customFormat="1" ht="15.75" customHeight="1">
      <c r="A101" s="400" t="s">
        <v>2481</v>
      </c>
      <c r="B101" s="72"/>
    </row>
    <row r="102" spans="1:2" s="73" customFormat="1" ht="29.25" customHeight="1">
      <c r="A102" s="400" t="s">
        <v>2482</v>
      </c>
      <c r="B102" s="72">
        <v>2</v>
      </c>
    </row>
    <row r="103" spans="1:2" s="73" customFormat="1" ht="28.5">
      <c r="A103" s="400" t="s">
        <v>2483</v>
      </c>
      <c r="B103" s="72">
        <v>1</v>
      </c>
    </row>
    <row r="104" spans="1:2" s="73" customFormat="1" ht="28.5">
      <c r="A104" s="267" t="s">
        <v>2102</v>
      </c>
      <c r="B104" s="72">
        <v>1</v>
      </c>
    </row>
    <row r="105" spans="1:2" s="73" customFormat="1">
      <c r="A105" s="400" t="s">
        <v>2498</v>
      </c>
      <c r="B105" s="72">
        <v>2</v>
      </c>
    </row>
    <row r="106" spans="1:2" s="73" customFormat="1" ht="28.5">
      <c r="A106" s="400" t="s">
        <v>2499</v>
      </c>
      <c r="B106" s="72">
        <v>2</v>
      </c>
    </row>
    <row r="107" spans="1:2" s="73" customFormat="1" ht="28.5">
      <c r="A107" s="400" t="s">
        <v>2500</v>
      </c>
      <c r="B107" s="72">
        <v>1</v>
      </c>
    </row>
    <row r="108" spans="1:2" s="73" customFormat="1">
      <c r="A108" s="400" t="s">
        <v>2501</v>
      </c>
      <c r="B108" s="72">
        <v>4</v>
      </c>
    </row>
    <row r="109" spans="1:2" s="73" customFormat="1">
      <c r="A109" s="400" t="s">
        <v>2502</v>
      </c>
      <c r="B109" s="72">
        <v>2</v>
      </c>
    </row>
    <row r="110" spans="1:2" s="73" customFormat="1">
      <c r="A110" s="400" t="s">
        <v>2503</v>
      </c>
      <c r="B110" s="72">
        <v>2</v>
      </c>
    </row>
    <row r="111" spans="1:2" s="73" customFormat="1">
      <c r="A111" s="400" t="s">
        <v>2504</v>
      </c>
      <c r="B111" s="72">
        <v>4</v>
      </c>
    </row>
    <row r="112" spans="1:2" s="73" customFormat="1">
      <c r="A112" s="400" t="s">
        <v>2505</v>
      </c>
      <c r="B112" s="72">
        <v>1</v>
      </c>
    </row>
    <row r="113" spans="1:2" s="73" customFormat="1">
      <c r="A113" s="400" t="s">
        <v>2506</v>
      </c>
      <c r="B113" s="72">
        <v>6</v>
      </c>
    </row>
    <row r="114" spans="1:2" s="73" customFormat="1" ht="20.25" customHeight="1">
      <c r="A114" s="400" t="s">
        <v>2510</v>
      </c>
      <c r="B114" s="72">
        <v>1</v>
      </c>
    </row>
    <row r="115" spans="1:2" s="73" customFormat="1" ht="28.5">
      <c r="A115" s="400" t="s">
        <v>2511</v>
      </c>
      <c r="B115" s="72">
        <v>4</v>
      </c>
    </row>
    <row r="116" spans="1:2" s="73" customFormat="1" ht="28.5">
      <c r="A116" s="400" t="s">
        <v>2512</v>
      </c>
      <c r="B116" s="72">
        <v>2</v>
      </c>
    </row>
    <row r="117" spans="1:2" s="73" customFormat="1" ht="19.5" customHeight="1">
      <c r="A117" s="400" t="s">
        <v>2513</v>
      </c>
      <c r="B117" s="72">
        <v>2</v>
      </c>
    </row>
    <row r="118" spans="1:2" s="73" customFormat="1">
      <c r="A118" s="400" t="s">
        <v>2514</v>
      </c>
      <c r="B118" s="72">
        <v>6</v>
      </c>
    </row>
    <row r="119" spans="1:2" s="73" customFormat="1">
      <c r="A119" s="400" t="s">
        <v>2515</v>
      </c>
      <c r="B119" s="72">
        <v>4</v>
      </c>
    </row>
    <row r="120" spans="1:2" s="73" customFormat="1" ht="28.5">
      <c r="A120" s="400" t="s">
        <v>2516</v>
      </c>
      <c r="B120" s="72">
        <v>2</v>
      </c>
    </row>
    <row r="121" spans="1:2" s="73" customFormat="1" ht="28.5">
      <c r="A121" s="400" t="s">
        <v>2517</v>
      </c>
      <c r="B121" s="72">
        <v>2</v>
      </c>
    </row>
    <row r="122" spans="1:2" s="73" customFormat="1" ht="28.5">
      <c r="A122" s="400" t="s">
        <v>2518</v>
      </c>
      <c r="B122" s="72">
        <v>6</v>
      </c>
    </row>
    <row r="123" spans="1:2" s="73" customFormat="1">
      <c r="A123" s="400" t="s">
        <v>2519</v>
      </c>
      <c r="B123" s="72">
        <v>1</v>
      </c>
    </row>
    <row r="124" spans="1:2" s="73" customFormat="1">
      <c r="A124" s="400" t="s">
        <v>2520</v>
      </c>
      <c r="B124" s="72">
        <v>2</v>
      </c>
    </row>
    <row r="125" spans="1:2" s="73" customFormat="1">
      <c r="A125" s="400" t="s">
        <v>2521</v>
      </c>
      <c r="B125" s="72">
        <v>1</v>
      </c>
    </row>
    <row r="126" spans="1:2" s="73" customFormat="1">
      <c r="A126" s="400" t="s">
        <v>2522</v>
      </c>
      <c r="B126" s="72">
        <v>2</v>
      </c>
    </row>
    <row r="127" spans="1:2" s="73" customFormat="1" ht="28.5">
      <c r="A127" s="400" t="s">
        <v>2523</v>
      </c>
      <c r="B127" s="72">
        <v>2</v>
      </c>
    </row>
    <row r="128" spans="1:2" s="73" customFormat="1">
      <c r="A128" s="400" t="s">
        <v>2524</v>
      </c>
      <c r="B128" s="72">
        <v>4</v>
      </c>
    </row>
    <row r="129" spans="1:2" s="73" customFormat="1">
      <c r="A129" s="400" t="s">
        <v>2525</v>
      </c>
      <c r="B129" s="72">
        <v>4</v>
      </c>
    </row>
    <row r="130" spans="1:2" s="73" customFormat="1" ht="28.5">
      <c r="A130" s="400" t="s">
        <v>2526</v>
      </c>
      <c r="B130" s="72">
        <v>2</v>
      </c>
    </row>
    <row r="131" spans="1:2" s="73" customFormat="1" ht="33.75" customHeight="1">
      <c r="A131" s="527" t="s">
        <v>2156</v>
      </c>
      <c r="B131" s="72">
        <v>1</v>
      </c>
    </row>
    <row r="132" spans="1:2" s="73" customFormat="1" ht="28.5">
      <c r="A132" s="400" t="s">
        <v>2527</v>
      </c>
      <c r="B132" s="72">
        <v>2</v>
      </c>
    </row>
    <row r="133" spans="1:2" s="73" customFormat="1">
      <c r="A133" s="400" t="s">
        <v>2528</v>
      </c>
      <c r="B133" s="72">
        <v>1</v>
      </c>
    </row>
    <row r="134" spans="1:2" s="73" customFormat="1">
      <c r="A134" s="400" t="s">
        <v>2536</v>
      </c>
      <c r="B134" s="72">
        <v>2</v>
      </c>
    </row>
    <row r="135" spans="1:2" s="73" customFormat="1" ht="37.5" customHeight="1">
      <c r="A135" s="400" t="s">
        <v>2530</v>
      </c>
      <c r="B135" s="72">
        <v>1</v>
      </c>
    </row>
    <row r="136" spans="1:2" s="73" customFormat="1" ht="37.5" customHeight="1">
      <c r="A136" s="400" t="s">
        <v>2531</v>
      </c>
      <c r="B136" s="72">
        <v>2</v>
      </c>
    </row>
    <row r="137" spans="1:2" s="73" customFormat="1">
      <c r="A137" s="400" t="s">
        <v>2529</v>
      </c>
      <c r="B137" s="72">
        <v>2</v>
      </c>
    </row>
    <row r="138" spans="1:2" s="73" customFormat="1" ht="28.5">
      <c r="A138" s="400" t="s">
        <v>2542</v>
      </c>
      <c r="B138" s="72">
        <v>1</v>
      </c>
    </row>
    <row r="139" spans="1:2" s="73" customFormat="1" ht="28.5">
      <c r="A139" s="400" t="s">
        <v>2543</v>
      </c>
      <c r="B139" s="72">
        <v>2</v>
      </c>
    </row>
    <row r="140" spans="1:2" s="73" customFormat="1">
      <c r="A140" s="400" t="s">
        <v>2544</v>
      </c>
      <c r="B140" s="72">
        <v>6</v>
      </c>
    </row>
    <row r="141" spans="1:2" s="73" customFormat="1" ht="28.5">
      <c r="A141" s="400" t="s">
        <v>2545</v>
      </c>
      <c r="B141" s="72">
        <v>2</v>
      </c>
    </row>
    <row r="142" spans="1:2" s="73" customFormat="1" ht="28.5">
      <c r="A142" s="400" t="s">
        <v>2546</v>
      </c>
      <c r="B142" s="72">
        <v>4</v>
      </c>
    </row>
    <row r="143" spans="1:2" s="73" customFormat="1" ht="33" customHeight="1">
      <c r="A143" s="400" t="s">
        <v>2547</v>
      </c>
      <c r="B143" s="72">
        <v>4</v>
      </c>
    </row>
    <row r="144" spans="1:2" s="73" customFormat="1" ht="28.5">
      <c r="A144" s="400" t="s">
        <v>2548</v>
      </c>
      <c r="B144" s="72">
        <v>16</v>
      </c>
    </row>
    <row r="145" spans="1:2" s="73" customFormat="1" ht="28.5">
      <c r="A145" s="400" t="s">
        <v>2549</v>
      </c>
      <c r="B145" s="72">
        <v>3</v>
      </c>
    </row>
    <row r="146" spans="1:2" s="73" customFormat="1" ht="28.5">
      <c r="A146" s="400" t="s">
        <v>2554</v>
      </c>
      <c r="B146" s="72">
        <v>4</v>
      </c>
    </row>
    <row r="147" spans="1:2" s="73" customFormat="1" ht="21.75" customHeight="1">
      <c r="A147" s="400" t="s">
        <v>2555</v>
      </c>
      <c r="B147" s="72">
        <v>4</v>
      </c>
    </row>
    <row r="148" spans="1:2" s="73" customFormat="1" ht="29.25" customHeight="1">
      <c r="A148" s="400" t="s">
        <v>2861</v>
      </c>
      <c r="B148" s="72">
        <v>1</v>
      </c>
    </row>
    <row r="149" spans="1:2" s="73" customFormat="1" ht="28.5">
      <c r="A149" s="400" t="s">
        <v>2563</v>
      </c>
      <c r="B149" s="72">
        <v>4</v>
      </c>
    </row>
    <row r="150" spans="1:2" s="73" customFormat="1" ht="28.5">
      <c r="A150" s="400" t="s">
        <v>2564</v>
      </c>
      <c r="B150" s="72">
        <v>1</v>
      </c>
    </row>
    <row r="151" spans="1:2" s="73" customFormat="1" ht="28.5">
      <c r="A151" s="400" t="s">
        <v>2565</v>
      </c>
      <c r="B151" s="72">
        <v>4</v>
      </c>
    </row>
    <row r="152" spans="1:2" s="73" customFormat="1">
      <c r="A152" s="400" t="s">
        <v>2566</v>
      </c>
      <c r="B152" s="72">
        <v>2</v>
      </c>
    </row>
    <row r="153" spans="1:2" s="73" customFormat="1">
      <c r="A153" s="400" t="s">
        <v>2567</v>
      </c>
      <c r="B153" s="72">
        <v>2</v>
      </c>
    </row>
    <row r="154" spans="1:2" s="73" customFormat="1">
      <c r="A154" s="400" t="s">
        <v>2576</v>
      </c>
      <c r="B154" s="72">
        <v>1</v>
      </c>
    </row>
    <row r="155" spans="1:2" s="73" customFormat="1" ht="28.5">
      <c r="A155" s="400" t="s">
        <v>2571</v>
      </c>
      <c r="B155" s="72">
        <v>2</v>
      </c>
    </row>
    <row r="156" spans="1:2" s="73" customFormat="1">
      <c r="A156" s="400" t="s">
        <v>2572</v>
      </c>
      <c r="B156" s="72">
        <v>2</v>
      </c>
    </row>
    <row r="157" spans="1:2" s="73" customFormat="1">
      <c r="A157" s="548" t="s">
        <v>2243</v>
      </c>
      <c r="B157" s="72">
        <v>1</v>
      </c>
    </row>
    <row r="158" spans="1:2" s="73" customFormat="1" ht="28.5">
      <c r="A158" s="400" t="s">
        <v>2573</v>
      </c>
      <c r="B158" s="72">
        <v>1</v>
      </c>
    </row>
    <row r="159" spans="1:2" s="73" customFormat="1">
      <c r="A159" s="400" t="s">
        <v>2574</v>
      </c>
      <c r="B159" s="72">
        <v>1</v>
      </c>
    </row>
    <row r="160" spans="1:2" s="73" customFormat="1" ht="42.75">
      <c r="A160" s="226" t="s">
        <v>2575</v>
      </c>
      <c r="B160" s="72">
        <v>2</v>
      </c>
    </row>
    <row r="161" spans="1:2" s="73" customFormat="1">
      <c r="A161" s="400" t="s">
        <v>2278</v>
      </c>
      <c r="B161" s="549">
        <v>0.5</v>
      </c>
    </row>
    <row r="162" spans="1:2" s="73" customFormat="1" ht="31.5" customHeight="1">
      <c r="A162" s="577" t="s">
        <v>2589</v>
      </c>
      <c r="B162" s="72">
        <v>1</v>
      </c>
    </row>
    <row r="163" spans="1:2" s="73" customFormat="1" ht="19.5" customHeight="1">
      <c r="A163" s="577" t="s">
        <v>2590</v>
      </c>
      <c r="B163" s="72">
        <v>1</v>
      </c>
    </row>
    <row r="164" spans="1:2" s="73" customFormat="1" ht="19.5" customHeight="1">
      <c r="A164" s="580" t="s">
        <v>2591</v>
      </c>
      <c r="B164" s="72">
        <v>2</v>
      </c>
    </row>
    <row r="165" spans="1:2" s="73" customFormat="1" ht="19.5" customHeight="1">
      <c r="A165" s="580" t="s">
        <v>2592</v>
      </c>
      <c r="B165" s="72">
        <v>1</v>
      </c>
    </row>
    <row r="166" spans="1:2" s="73" customFormat="1" ht="30.75" customHeight="1">
      <c r="A166" s="580" t="s">
        <v>2593</v>
      </c>
      <c r="B166" s="72">
        <v>1</v>
      </c>
    </row>
    <row r="167" spans="1:2" s="73" customFormat="1" ht="19.5" customHeight="1">
      <c r="A167" s="580" t="s">
        <v>2594</v>
      </c>
      <c r="B167" s="72">
        <v>1</v>
      </c>
    </row>
    <row r="168" spans="1:2" s="73" customFormat="1" ht="31.5" customHeight="1">
      <c r="A168" s="580" t="s">
        <v>2595</v>
      </c>
      <c r="B168" s="72">
        <v>1</v>
      </c>
    </row>
    <row r="169" spans="1:2" s="73" customFormat="1" ht="19.5" customHeight="1">
      <c r="A169" s="580" t="s">
        <v>2596</v>
      </c>
      <c r="B169" s="72">
        <v>1</v>
      </c>
    </row>
    <row r="170" spans="1:2" s="73" customFormat="1" ht="30" customHeight="1">
      <c r="A170" s="580" t="s">
        <v>2599</v>
      </c>
      <c r="B170" s="72">
        <v>2</v>
      </c>
    </row>
    <row r="171" spans="1:2" s="73" customFormat="1" ht="15.75" customHeight="1">
      <c r="A171" s="576" t="s">
        <v>102</v>
      </c>
      <c r="B171" s="72"/>
    </row>
    <row r="172" spans="1:2" s="73" customFormat="1" ht="15.75" thickBot="1">
      <c r="A172" s="400" t="s">
        <v>2442</v>
      </c>
      <c r="B172" s="72">
        <v>1</v>
      </c>
    </row>
    <row r="173" spans="1:2" s="73" customFormat="1" ht="15" customHeight="1">
      <c r="A173" s="538" t="s">
        <v>2443</v>
      </c>
      <c r="B173" s="72">
        <v>1</v>
      </c>
    </row>
    <row r="174" spans="1:2" s="73" customFormat="1">
      <c r="A174" s="400" t="s">
        <v>2444</v>
      </c>
      <c r="B174" s="72">
        <v>1.5</v>
      </c>
    </row>
    <row r="175" spans="1:2" s="73" customFormat="1">
      <c r="A175" s="157" t="s">
        <v>2445</v>
      </c>
      <c r="B175" s="72">
        <v>1</v>
      </c>
    </row>
    <row r="176" spans="1:2" s="73" customFormat="1">
      <c r="A176" s="400" t="s">
        <v>2446</v>
      </c>
      <c r="B176" s="72">
        <v>1</v>
      </c>
    </row>
    <row r="177" spans="1:2" s="73" customFormat="1">
      <c r="A177" s="400" t="s">
        <v>2453</v>
      </c>
      <c r="B177" s="72">
        <v>1</v>
      </c>
    </row>
    <row r="178" spans="1:2" s="73" customFormat="1">
      <c r="A178" s="400" t="s">
        <v>2454</v>
      </c>
      <c r="B178" s="72">
        <v>2</v>
      </c>
    </row>
    <row r="179" spans="1:2" s="73" customFormat="1">
      <c r="A179" s="400" t="s">
        <v>2455</v>
      </c>
      <c r="B179" s="72">
        <v>1</v>
      </c>
    </row>
    <row r="180" spans="1:2" s="73" customFormat="1">
      <c r="A180" s="400" t="s">
        <v>2456</v>
      </c>
      <c r="B180" s="72">
        <v>2</v>
      </c>
    </row>
    <row r="181" spans="1:2" s="73" customFormat="1">
      <c r="A181" s="400" t="s">
        <v>2462</v>
      </c>
      <c r="B181" s="72">
        <v>1</v>
      </c>
    </row>
    <row r="182" spans="1:2" s="73" customFormat="1">
      <c r="A182" s="400" t="s">
        <v>2463</v>
      </c>
      <c r="B182" s="72">
        <v>1</v>
      </c>
    </row>
    <row r="183" spans="1:2" s="73" customFormat="1">
      <c r="A183" s="400" t="s">
        <v>2464</v>
      </c>
      <c r="B183" s="72">
        <v>2</v>
      </c>
    </row>
    <row r="184" spans="1:2" s="73" customFormat="1">
      <c r="A184" s="400" t="s">
        <v>2465</v>
      </c>
      <c r="B184" s="72"/>
    </row>
    <row r="185" spans="1:2" s="73" customFormat="1">
      <c r="A185" s="400" t="s">
        <v>2466</v>
      </c>
      <c r="B185" s="72">
        <v>1</v>
      </c>
    </row>
    <row r="186" spans="1:2" s="73" customFormat="1" ht="28.5">
      <c r="A186" s="400" t="s">
        <v>2467</v>
      </c>
      <c r="B186" s="72">
        <v>1</v>
      </c>
    </row>
    <row r="187" spans="1:2" s="73" customFormat="1" ht="28.5">
      <c r="A187" s="400" t="s">
        <v>2468</v>
      </c>
      <c r="B187" s="72">
        <v>1</v>
      </c>
    </row>
    <row r="188" spans="1:2" s="73" customFormat="1">
      <c r="A188" s="400" t="s">
        <v>2469</v>
      </c>
      <c r="B188" s="72">
        <v>1</v>
      </c>
    </row>
    <row r="189" spans="1:2" s="73" customFormat="1">
      <c r="A189" s="400" t="s">
        <v>2470</v>
      </c>
      <c r="B189" s="72">
        <v>1</v>
      </c>
    </row>
    <row r="190" spans="1:2" s="73" customFormat="1">
      <c r="A190" s="400" t="s">
        <v>2471</v>
      </c>
      <c r="B190" s="72">
        <v>0.5</v>
      </c>
    </row>
    <row r="191" spans="1:2" s="73" customFormat="1">
      <c r="A191" s="400" t="s">
        <v>2472</v>
      </c>
      <c r="B191" s="72">
        <v>1.5</v>
      </c>
    </row>
    <row r="192" spans="1:2" s="73" customFormat="1">
      <c r="A192" s="400" t="s">
        <v>2484</v>
      </c>
      <c r="B192" s="72">
        <v>1</v>
      </c>
    </row>
    <row r="193" spans="1:2" s="73" customFormat="1">
      <c r="A193" s="400" t="s">
        <v>2485</v>
      </c>
      <c r="B193" s="72">
        <v>1</v>
      </c>
    </row>
    <row r="194" spans="1:2" s="73" customFormat="1">
      <c r="A194" s="400" t="s">
        <v>2486</v>
      </c>
      <c r="B194" s="72">
        <v>2</v>
      </c>
    </row>
    <row r="195" spans="1:2" s="73" customFormat="1">
      <c r="A195" s="400" t="s">
        <v>2489</v>
      </c>
      <c r="B195" s="72">
        <v>1</v>
      </c>
    </row>
    <row r="196" spans="1:2" s="73" customFormat="1">
      <c r="A196" s="400" t="s">
        <v>2490</v>
      </c>
      <c r="B196" s="72">
        <v>1</v>
      </c>
    </row>
    <row r="197" spans="1:2" s="73" customFormat="1">
      <c r="A197" s="400" t="s">
        <v>2491</v>
      </c>
      <c r="B197" s="72">
        <v>1</v>
      </c>
    </row>
    <row r="198" spans="1:2" s="73" customFormat="1">
      <c r="A198" s="400" t="s">
        <v>2492</v>
      </c>
      <c r="B198" s="72">
        <v>1</v>
      </c>
    </row>
    <row r="199" spans="1:2" s="73" customFormat="1">
      <c r="A199" s="400" t="s">
        <v>2493</v>
      </c>
      <c r="B199" s="72">
        <v>1</v>
      </c>
    </row>
    <row r="200" spans="1:2" s="73" customFormat="1" ht="28.5">
      <c r="A200" s="400" t="s">
        <v>2507</v>
      </c>
      <c r="B200" s="72">
        <v>1</v>
      </c>
    </row>
    <row r="201" spans="1:2" s="73" customFormat="1" ht="28.5">
      <c r="A201" s="400" t="s">
        <v>2508</v>
      </c>
      <c r="B201" s="72">
        <v>1</v>
      </c>
    </row>
    <row r="202" spans="1:2" s="73" customFormat="1">
      <c r="A202" s="400" t="s">
        <v>2509</v>
      </c>
      <c r="B202" s="72">
        <v>1</v>
      </c>
    </row>
    <row r="203" spans="1:2" s="73" customFormat="1" ht="28.5">
      <c r="A203" s="400" t="s">
        <v>2532</v>
      </c>
      <c r="B203" s="72">
        <v>2</v>
      </c>
    </row>
    <row r="204" spans="1:2" s="73" customFormat="1">
      <c r="A204" s="400" t="s">
        <v>2533</v>
      </c>
      <c r="B204" s="72">
        <v>1</v>
      </c>
    </row>
    <row r="205" spans="1:2" s="73" customFormat="1">
      <c r="A205" s="400" t="s">
        <v>2534</v>
      </c>
      <c r="B205" s="72">
        <v>1</v>
      </c>
    </row>
    <row r="206" spans="1:2" s="73" customFormat="1" ht="42.75">
      <c r="A206" s="400" t="s">
        <v>2535</v>
      </c>
      <c r="B206" s="72">
        <v>1</v>
      </c>
    </row>
    <row r="207" spans="1:2" s="73" customFormat="1">
      <c r="A207" s="400" t="s">
        <v>2550</v>
      </c>
      <c r="B207" s="72">
        <v>1</v>
      </c>
    </row>
    <row r="208" spans="1:2" s="73" customFormat="1" ht="28.5">
      <c r="A208" s="400" t="s">
        <v>2558</v>
      </c>
      <c r="B208" s="72">
        <v>1</v>
      </c>
    </row>
    <row r="209" spans="1:2" s="73" customFormat="1">
      <c r="A209" s="400" t="s">
        <v>2559</v>
      </c>
      <c r="B209" s="72">
        <v>1</v>
      </c>
    </row>
    <row r="210" spans="1:2" s="73" customFormat="1">
      <c r="A210" s="400" t="s">
        <v>2560</v>
      </c>
      <c r="B210" s="72">
        <v>1</v>
      </c>
    </row>
    <row r="211" spans="1:2" s="73" customFormat="1">
      <c r="A211" s="400" t="s">
        <v>2568</v>
      </c>
      <c r="B211" s="72">
        <v>1</v>
      </c>
    </row>
    <row r="212" spans="1:2" s="73" customFormat="1">
      <c r="A212" s="400" t="s">
        <v>2569</v>
      </c>
      <c r="B212" s="72">
        <v>1</v>
      </c>
    </row>
    <row r="213" spans="1:2" s="73" customFormat="1">
      <c r="A213" s="400" t="s">
        <v>2570</v>
      </c>
      <c r="B213" s="72">
        <v>1</v>
      </c>
    </row>
    <row r="214" spans="1:2" s="73" customFormat="1">
      <c r="A214" s="400" t="s">
        <v>2577</v>
      </c>
      <c r="B214" s="72">
        <v>1</v>
      </c>
    </row>
    <row r="215" spans="1:2" s="73" customFormat="1">
      <c r="A215" s="400" t="s">
        <v>2578</v>
      </c>
      <c r="B215" s="72">
        <v>1</v>
      </c>
    </row>
    <row r="216" spans="1:2" s="73" customFormat="1">
      <c r="A216" s="400" t="s">
        <v>2579</v>
      </c>
      <c r="B216" s="72">
        <v>1</v>
      </c>
    </row>
    <row r="217" spans="1:2" s="73" customFormat="1" ht="17.25" customHeight="1">
      <c r="A217" s="400" t="s">
        <v>2580</v>
      </c>
      <c r="B217" s="72">
        <v>1</v>
      </c>
    </row>
    <row r="218" spans="1:2" s="73" customFormat="1">
      <c r="A218" s="400" t="s">
        <v>2581</v>
      </c>
      <c r="B218" s="72">
        <v>1</v>
      </c>
    </row>
    <row r="219" spans="1:2" s="73" customFormat="1">
      <c r="A219" s="400" t="s">
        <v>2582</v>
      </c>
      <c r="B219" s="72">
        <v>1</v>
      </c>
    </row>
    <row r="220" spans="1:2" s="73" customFormat="1" ht="28.5">
      <c r="A220" s="400" t="s">
        <v>2583</v>
      </c>
      <c r="B220" s="72">
        <v>1.5</v>
      </c>
    </row>
    <row r="221" spans="1:2" s="73" customFormat="1" ht="28.5">
      <c r="A221" s="400" t="s">
        <v>2584</v>
      </c>
      <c r="B221" s="72">
        <v>1</v>
      </c>
    </row>
    <row r="222" spans="1:2" s="73" customFormat="1">
      <c r="A222" s="400" t="s">
        <v>2585</v>
      </c>
      <c r="B222" s="72">
        <v>1</v>
      </c>
    </row>
    <row r="223" spans="1:2" s="73" customFormat="1">
      <c r="A223" s="400" t="s">
        <v>2586</v>
      </c>
      <c r="B223" s="72">
        <v>1</v>
      </c>
    </row>
    <row r="224" spans="1:2" s="73" customFormat="1">
      <c r="A224" s="400" t="s">
        <v>2587</v>
      </c>
      <c r="B224" s="72">
        <v>1</v>
      </c>
    </row>
    <row r="225" spans="1:253" s="73" customFormat="1" ht="28.5">
      <c r="A225" s="400" t="s">
        <v>2588</v>
      </c>
      <c r="B225" s="72">
        <v>1</v>
      </c>
    </row>
    <row r="226" spans="1:253">
      <c r="A226" s="470" t="s">
        <v>587</v>
      </c>
      <c r="B226" s="76">
        <f>SUM(B8:B222)</f>
        <v>440.4</v>
      </c>
      <c r="E226" s="73"/>
    </row>
    <row r="227" spans="1:253">
      <c r="A227" s="78"/>
      <c r="B227" s="75"/>
    </row>
    <row r="228" spans="1:253" s="179" customFormat="1" ht="43.5" customHeight="1">
      <c r="A228" s="697" t="s">
        <v>3811</v>
      </c>
      <c r="IS228"/>
    </row>
    <row r="229" spans="1:253">
      <c r="A229" s="217" t="s">
        <v>593</v>
      </c>
      <c r="B229" s="196">
        <v>2514.5</v>
      </c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79"/>
      <c r="BA229" s="179"/>
      <c r="BB229" s="179"/>
      <c r="BC229" s="179"/>
      <c r="BD229" s="179"/>
      <c r="BE229" s="179"/>
      <c r="BF229" s="179"/>
      <c r="BG229" s="179"/>
      <c r="BH229" s="179"/>
      <c r="BI229" s="179"/>
      <c r="BJ229" s="179"/>
      <c r="BK229" s="179"/>
      <c r="BL229" s="179"/>
      <c r="BM229" s="179"/>
      <c r="BN229" s="179"/>
      <c r="BO229" s="179"/>
      <c r="BP229" s="179"/>
      <c r="BQ229" s="179"/>
      <c r="BR229" s="179"/>
      <c r="BS229" s="179"/>
      <c r="BT229" s="179"/>
      <c r="BU229" s="179"/>
      <c r="BV229" s="179"/>
      <c r="BW229" s="179"/>
      <c r="BX229" s="179"/>
      <c r="BY229" s="179"/>
      <c r="BZ229" s="179"/>
      <c r="CA229" s="179"/>
      <c r="CB229" s="179"/>
      <c r="CC229" s="179"/>
      <c r="CD229" s="179"/>
      <c r="CE229" s="179"/>
      <c r="CF229" s="179"/>
      <c r="CG229" s="179"/>
      <c r="CH229" s="179"/>
      <c r="CI229" s="179"/>
      <c r="CJ229" s="179"/>
      <c r="CK229" s="179"/>
      <c r="CL229" s="179"/>
      <c r="CM229" s="179"/>
      <c r="CN229" s="179"/>
      <c r="CO229" s="179"/>
      <c r="CP229" s="179"/>
      <c r="CQ229" s="179"/>
      <c r="CR229" s="179"/>
      <c r="CS229" s="179"/>
      <c r="CT229" s="179"/>
      <c r="CU229" s="179"/>
      <c r="CV229" s="179"/>
      <c r="CW229" s="179"/>
      <c r="CX229" s="179"/>
      <c r="CY229" s="179"/>
      <c r="CZ229" s="179"/>
      <c r="DA229" s="179"/>
      <c r="DB229" s="179"/>
      <c r="DC229" s="179"/>
      <c r="DD229" s="179"/>
      <c r="DE229" s="179"/>
      <c r="DF229" s="179"/>
      <c r="DG229" s="179"/>
      <c r="DH229" s="179"/>
      <c r="DI229" s="179"/>
      <c r="DJ229" s="179"/>
      <c r="DK229" s="179"/>
      <c r="DL229" s="179"/>
      <c r="DM229" s="179"/>
      <c r="DN229" s="179"/>
      <c r="DO229" s="179"/>
      <c r="DP229" s="179"/>
      <c r="DQ229" s="179"/>
      <c r="DR229" s="179"/>
      <c r="DS229" s="179"/>
      <c r="DT229" s="179"/>
      <c r="DU229" s="179"/>
      <c r="DV229" s="179"/>
      <c r="DW229" s="179"/>
      <c r="DX229" s="179"/>
      <c r="DY229" s="179"/>
      <c r="DZ229" s="179"/>
      <c r="EA229" s="179"/>
      <c r="EB229" s="179"/>
      <c r="EC229" s="179"/>
      <c r="ED229" s="179"/>
      <c r="EE229" s="179"/>
      <c r="EF229" s="179"/>
      <c r="EG229" s="179"/>
      <c r="EH229" s="179"/>
      <c r="EI229" s="179"/>
      <c r="EJ229" s="179"/>
      <c r="EK229" s="179"/>
      <c r="EL229" s="179"/>
      <c r="EM229" s="179"/>
      <c r="EN229" s="179"/>
      <c r="EO229" s="179"/>
      <c r="EP229" s="179"/>
      <c r="EQ229" s="179"/>
      <c r="ER229" s="179"/>
      <c r="ES229" s="179"/>
      <c r="ET229" s="179"/>
      <c r="EU229" s="179"/>
      <c r="EV229" s="179"/>
      <c r="EW229" s="179"/>
      <c r="EX229" s="179"/>
      <c r="EY229" s="179"/>
      <c r="EZ229" s="179"/>
      <c r="FA229" s="179"/>
      <c r="FB229" s="179"/>
      <c r="FC229" s="179"/>
      <c r="FD229" s="179"/>
      <c r="FE229" s="179"/>
      <c r="FF229" s="179"/>
      <c r="FG229" s="179"/>
      <c r="FH229" s="179"/>
      <c r="FI229" s="179"/>
      <c r="FJ229" s="179"/>
      <c r="FK229" s="179"/>
      <c r="FL229" s="179"/>
      <c r="FM229" s="179"/>
      <c r="FN229" s="179"/>
      <c r="FO229" s="179"/>
      <c r="FP229" s="179"/>
      <c r="FQ229" s="179"/>
      <c r="FR229" s="179"/>
      <c r="FS229" s="179"/>
      <c r="FT229" s="179"/>
      <c r="FU229" s="179"/>
      <c r="FV229" s="179"/>
      <c r="FW229" s="179"/>
      <c r="FX229" s="179"/>
      <c r="FY229" s="179"/>
      <c r="FZ229" s="179"/>
      <c r="GA229" s="179"/>
      <c r="GB229" s="179"/>
      <c r="GC229" s="179"/>
      <c r="GD229" s="179"/>
      <c r="GE229" s="179"/>
      <c r="GF229" s="179"/>
      <c r="GG229" s="179"/>
      <c r="GH229" s="179"/>
      <c r="GI229" s="179"/>
      <c r="GJ229" s="179"/>
      <c r="GK229" s="179"/>
      <c r="GL229" s="179"/>
      <c r="GM229" s="179"/>
      <c r="GN229" s="179"/>
      <c r="GO229" s="179"/>
      <c r="GP229" s="179"/>
      <c r="GQ229" s="179"/>
      <c r="GR229" s="179"/>
      <c r="GS229" s="179"/>
      <c r="GT229" s="179"/>
      <c r="GU229" s="179"/>
      <c r="GV229" s="179"/>
      <c r="GW229" s="179"/>
      <c r="GX229" s="179"/>
      <c r="GY229" s="179"/>
      <c r="GZ229" s="179"/>
      <c r="HA229" s="179"/>
      <c r="HB229" s="179"/>
      <c r="HC229" s="179"/>
      <c r="HD229" s="179"/>
      <c r="HE229" s="179"/>
      <c r="HF229" s="179"/>
      <c r="HG229" s="179"/>
      <c r="HH229" s="179"/>
      <c r="HI229" s="179"/>
      <c r="HJ229" s="179"/>
      <c r="HK229" s="179"/>
      <c r="HL229" s="179"/>
      <c r="HM229" s="179"/>
      <c r="HN229" s="179"/>
      <c r="HO229" s="179"/>
      <c r="HP229" s="179"/>
      <c r="HQ229" s="179"/>
      <c r="HR229" s="179"/>
      <c r="HS229" s="179"/>
      <c r="HT229" s="179"/>
      <c r="HU229" s="179"/>
      <c r="HV229" s="179"/>
      <c r="HW229" s="179"/>
      <c r="HX229" s="179"/>
      <c r="HY229" s="179"/>
      <c r="HZ229" s="179"/>
      <c r="IA229" s="179"/>
      <c r="IB229" s="179"/>
      <c r="IC229" s="179"/>
      <c r="ID229" s="179"/>
      <c r="IE229" s="179"/>
      <c r="IF229" s="179"/>
      <c r="IG229" s="179"/>
      <c r="IH229" s="179"/>
      <c r="II229" s="179"/>
      <c r="IJ229" s="179"/>
      <c r="IK229" s="179"/>
      <c r="IL229" s="179"/>
      <c r="IM229" s="179"/>
      <c r="IN229" s="179"/>
      <c r="IO229" s="179"/>
      <c r="IP229" s="179"/>
      <c r="IQ229" s="179"/>
      <c r="IR229" s="179"/>
    </row>
    <row r="230" spans="1:253">
      <c r="A230" s="217" t="s">
        <v>594</v>
      </c>
      <c r="B230" s="196">
        <v>19.16</v>
      </c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9"/>
      <c r="AU230" s="179"/>
      <c r="AV230" s="179"/>
      <c r="AW230" s="179"/>
      <c r="AX230" s="179"/>
      <c r="AY230" s="179"/>
      <c r="AZ230" s="179"/>
      <c r="BA230" s="179"/>
      <c r="BB230" s="179"/>
      <c r="BC230" s="179"/>
      <c r="BD230" s="179"/>
      <c r="BE230" s="179"/>
      <c r="BF230" s="179"/>
      <c r="BG230" s="179"/>
      <c r="BH230" s="179"/>
      <c r="BI230" s="179"/>
      <c r="BJ230" s="179"/>
      <c r="BK230" s="179"/>
      <c r="BL230" s="179"/>
      <c r="BM230" s="179"/>
      <c r="BN230" s="179"/>
      <c r="BO230" s="179"/>
      <c r="BP230" s="179"/>
      <c r="BQ230" s="179"/>
      <c r="BR230" s="179"/>
      <c r="BS230" s="179"/>
      <c r="BT230" s="179"/>
      <c r="BU230" s="179"/>
      <c r="BV230" s="179"/>
      <c r="BW230" s="179"/>
      <c r="BX230" s="179"/>
      <c r="BY230" s="179"/>
      <c r="BZ230" s="179"/>
      <c r="CA230" s="179"/>
      <c r="CB230" s="179"/>
      <c r="CC230" s="179"/>
      <c r="CD230" s="179"/>
      <c r="CE230" s="179"/>
      <c r="CF230" s="179"/>
      <c r="CG230" s="179"/>
      <c r="CH230" s="179"/>
      <c r="CI230" s="179"/>
      <c r="CJ230" s="179"/>
      <c r="CK230" s="179"/>
      <c r="CL230" s="179"/>
      <c r="CM230" s="179"/>
      <c r="CN230" s="179"/>
      <c r="CO230" s="179"/>
      <c r="CP230" s="179"/>
      <c r="CQ230" s="179"/>
      <c r="CR230" s="179"/>
      <c r="CS230" s="179"/>
      <c r="CT230" s="179"/>
      <c r="CU230" s="179"/>
      <c r="CV230" s="179"/>
      <c r="CW230" s="179"/>
      <c r="CX230" s="179"/>
      <c r="CY230" s="179"/>
      <c r="CZ230" s="179"/>
      <c r="DA230" s="179"/>
      <c r="DB230" s="179"/>
      <c r="DC230" s="179"/>
      <c r="DD230" s="179"/>
      <c r="DE230" s="179"/>
      <c r="DF230" s="179"/>
      <c r="DG230" s="179"/>
      <c r="DH230" s="179"/>
      <c r="DI230" s="179"/>
      <c r="DJ230" s="179"/>
      <c r="DK230" s="179"/>
      <c r="DL230" s="179"/>
      <c r="DM230" s="179"/>
      <c r="DN230" s="179"/>
      <c r="DO230" s="179"/>
      <c r="DP230" s="179"/>
      <c r="DQ230" s="179"/>
      <c r="DR230" s="179"/>
      <c r="DS230" s="179"/>
      <c r="DT230" s="179"/>
      <c r="DU230" s="179"/>
      <c r="DV230" s="179"/>
      <c r="DW230" s="179"/>
      <c r="DX230" s="179"/>
      <c r="DY230" s="179"/>
      <c r="DZ230" s="179"/>
      <c r="EA230" s="179"/>
      <c r="EB230" s="179"/>
      <c r="EC230" s="179"/>
      <c r="ED230" s="179"/>
      <c r="EE230" s="179"/>
      <c r="EF230" s="179"/>
      <c r="EG230" s="179"/>
      <c r="EH230" s="179"/>
      <c r="EI230" s="179"/>
      <c r="EJ230" s="179"/>
      <c r="EK230" s="179"/>
      <c r="EL230" s="179"/>
      <c r="EM230" s="179"/>
      <c r="EN230" s="179"/>
      <c r="EO230" s="179"/>
      <c r="EP230" s="179"/>
      <c r="EQ230" s="179"/>
      <c r="ER230" s="179"/>
      <c r="ES230" s="179"/>
      <c r="ET230" s="179"/>
      <c r="EU230" s="179"/>
      <c r="EV230" s="179"/>
      <c r="EW230" s="179"/>
      <c r="EX230" s="179"/>
      <c r="EY230" s="179"/>
      <c r="EZ230" s="179"/>
      <c r="FA230" s="179"/>
      <c r="FB230" s="179"/>
      <c r="FC230" s="179"/>
      <c r="FD230" s="179"/>
      <c r="FE230" s="179"/>
      <c r="FF230" s="179"/>
      <c r="FG230" s="179"/>
      <c r="FH230" s="179"/>
      <c r="FI230" s="179"/>
      <c r="FJ230" s="179"/>
      <c r="FK230" s="179"/>
      <c r="FL230" s="179"/>
      <c r="FM230" s="179"/>
      <c r="FN230" s="179"/>
      <c r="FO230" s="179"/>
      <c r="FP230" s="179"/>
      <c r="FQ230" s="179"/>
      <c r="FR230" s="179"/>
      <c r="FS230" s="179"/>
      <c r="FT230" s="179"/>
      <c r="FU230" s="179"/>
      <c r="FV230" s="179"/>
      <c r="FW230" s="179"/>
      <c r="FX230" s="179"/>
      <c r="FY230" s="179"/>
      <c r="FZ230" s="179"/>
      <c r="GA230" s="179"/>
      <c r="GB230" s="179"/>
      <c r="GC230" s="179"/>
      <c r="GD230" s="179"/>
      <c r="GE230" s="179"/>
      <c r="GF230" s="179"/>
      <c r="GG230" s="179"/>
      <c r="GH230" s="179"/>
      <c r="GI230" s="179"/>
      <c r="GJ230" s="179"/>
      <c r="GK230" s="179"/>
      <c r="GL230" s="179"/>
      <c r="GM230" s="179"/>
      <c r="GN230" s="179"/>
      <c r="GO230" s="179"/>
      <c r="GP230" s="179"/>
      <c r="GQ230" s="179"/>
      <c r="GR230" s="179"/>
      <c r="GS230" s="179"/>
      <c r="GT230" s="179"/>
      <c r="GU230" s="179"/>
      <c r="GV230" s="179"/>
      <c r="GW230" s="179"/>
      <c r="GX230" s="179"/>
      <c r="GY230" s="179"/>
      <c r="GZ230" s="179"/>
      <c r="HA230" s="179"/>
      <c r="HB230" s="179"/>
      <c r="HC230" s="179"/>
      <c r="HD230" s="179"/>
      <c r="HE230" s="179"/>
      <c r="HF230" s="179"/>
      <c r="HG230" s="179"/>
      <c r="HH230" s="179"/>
      <c r="HI230" s="179"/>
      <c r="HJ230" s="179"/>
      <c r="HK230" s="179"/>
      <c r="HL230" s="179"/>
      <c r="HM230" s="179"/>
      <c r="HN230" s="179"/>
      <c r="HO230" s="179"/>
      <c r="HP230" s="179"/>
      <c r="HQ230" s="179"/>
      <c r="HR230" s="179"/>
      <c r="HS230" s="179"/>
      <c r="HT230" s="179"/>
      <c r="HU230" s="179"/>
      <c r="HV230" s="179"/>
      <c r="HW230" s="179"/>
      <c r="HX230" s="179"/>
      <c r="HY230" s="179"/>
      <c r="HZ230" s="179"/>
      <c r="IA230" s="179"/>
      <c r="IB230" s="179"/>
      <c r="IC230" s="179"/>
      <c r="ID230" s="179"/>
      <c r="IE230" s="179"/>
      <c r="IF230" s="179"/>
      <c r="IG230" s="179"/>
      <c r="IH230" s="179"/>
      <c r="II230" s="179"/>
      <c r="IJ230" s="179"/>
      <c r="IK230" s="179"/>
      <c r="IL230" s="179"/>
      <c r="IM230" s="179"/>
      <c r="IN230" s="179"/>
      <c r="IO230" s="179"/>
      <c r="IP230" s="179"/>
      <c r="IQ230" s="179"/>
      <c r="IR230" s="179"/>
    </row>
    <row r="231" spans="1:253">
      <c r="A231" s="218" t="s">
        <v>711</v>
      </c>
      <c r="B231" s="193">
        <v>108347.53</v>
      </c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  <c r="BK231" s="179"/>
      <c r="BL231" s="179"/>
      <c r="BM231" s="179"/>
      <c r="BN231" s="179"/>
      <c r="BO231" s="179"/>
      <c r="BP231" s="179"/>
      <c r="BQ231" s="179"/>
      <c r="BR231" s="179"/>
      <c r="BS231" s="179"/>
      <c r="BT231" s="179"/>
      <c r="BU231" s="179"/>
      <c r="BV231" s="179"/>
      <c r="BW231" s="179"/>
      <c r="BX231" s="179"/>
      <c r="BY231" s="179"/>
      <c r="BZ231" s="179"/>
      <c r="CA231" s="179"/>
      <c r="CB231" s="179"/>
      <c r="CC231" s="179"/>
      <c r="CD231" s="179"/>
      <c r="CE231" s="179"/>
      <c r="CF231" s="179"/>
      <c r="CG231" s="179"/>
      <c r="CH231" s="179"/>
      <c r="CI231" s="179"/>
      <c r="CJ231" s="179"/>
      <c r="CK231" s="179"/>
      <c r="CL231" s="179"/>
      <c r="CM231" s="179"/>
      <c r="CN231" s="179"/>
      <c r="CO231" s="179"/>
      <c r="CP231" s="179"/>
      <c r="CQ231" s="179"/>
      <c r="CR231" s="179"/>
      <c r="CS231" s="179"/>
      <c r="CT231" s="179"/>
      <c r="CU231" s="179"/>
      <c r="CV231" s="179"/>
      <c r="CW231" s="179"/>
      <c r="CX231" s="179"/>
      <c r="CY231" s="179"/>
      <c r="CZ231" s="179"/>
      <c r="DA231" s="179"/>
      <c r="DB231" s="179"/>
      <c r="DC231" s="179"/>
      <c r="DD231" s="179"/>
      <c r="DE231" s="179"/>
      <c r="DF231" s="179"/>
      <c r="DG231" s="179"/>
      <c r="DH231" s="179"/>
      <c r="DI231" s="179"/>
      <c r="DJ231" s="179"/>
      <c r="DK231" s="179"/>
      <c r="DL231" s="179"/>
      <c r="DM231" s="179"/>
      <c r="DN231" s="179"/>
      <c r="DO231" s="179"/>
      <c r="DP231" s="179"/>
      <c r="DQ231" s="179"/>
      <c r="DR231" s="179"/>
      <c r="DS231" s="179"/>
      <c r="DT231" s="179"/>
      <c r="DU231" s="179"/>
      <c r="DV231" s="179"/>
      <c r="DW231" s="179"/>
      <c r="DX231" s="179"/>
      <c r="DY231" s="179"/>
      <c r="DZ231" s="179"/>
      <c r="EA231" s="179"/>
      <c r="EB231" s="179"/>
      <c r="EC231" s="179"/>
      <c r="ED231" s="179"/>
      <c r="EE231" s="179"/>
      <c r="EF231" s="179"/>
      <c r="EG231" s="179"/>
      <c r="EH231" s="179"/>
      <c r="EI231" s="179"/>
      <c r="EJ231" s="179"/>
      <c r="EK231" s="179"/>
      <c r="EL231" s="179"/>
      <c r="EM231" s="179"/>
      <c r="EN231" s="179"/>
      <c r="EO231" s="179"/>
      <c r="EP231" s="179"/>
      <c r="EQ231" s="179"/>
      <c r="ER231" s="179"/>
      <c r="ES231" s="179"/>
      <c r="ET231" s="179"/>
      <c r="EU231" s="179"/>
      <c r="EV231" s="179"/>
      <c r="EW231" s="179"/>
      <c r="EX231" s="179"/>
      <c r="EY231" s="179"/>
      <c r="EZ231" s="179"/>
      <c r="FA231" s="179"/>
      <c r="FB231" s="179"/>
      <c r="FC231" s="179"/>
      <c r="FD231" s="179"/>
      <c r="FE231" s="179"/>
      <c r="FF231" s="179"/>
      <c r="FG231" s="179"/>
      <c r="FH231" s="179"/>
      <c r="FI231" s="179"/>
      <c r="FJ231" s="179"/>
      <c r="FK231" s="179"/>
      <c r="FL231" s="179"/>
      <c r="FM231" s="179"/>
      <c r="FN231" s="179"/>
      <c r="FO231" s="179"/>
      <c r="FP231" s="179"/>
      <c r="FQ231" s="179"/>
      <c r="FR231" s="179"/>
      <c r="FS231" s="179"/>
      <c r="FT231" s="179"/>
      <c r="FU231" s="179"/>
      <c r="FV231" s="179"/>
      <c r="FW231" s="179"/>
      <c r="FX231" s="179"/>
      <c r="FY231" s="179"/>
      <c r="FZ231" s="179"/>
      <c r="GA231" s="179"/>
      <c r="GB231" s="179"/>
      <c r="GC231" s="179"/>
      <c r="GD231" s="179"/>
      <c r="GE231" s="179"/>
      <c r="GF231" s="179"/>
      <c r="GG231" s="179"/>
      <c r="GH231" s="179"/>
      <c r="GI231" s="179"/>
      <c r="GJ231" s="179"/>
      <c r="GK231" s="179"/>
      <c r="GL231" s="179"/>
      <c r="GM231" s="179"/>
      <c r="GN231" s="179"/>
      <c r="GO231" s="179"/>
      <c r="GP231" s="179"/>
      <c r="GQ231" s="179"/>
      <c r="GR231" s="179"/>
      <c r="GS231" s="179"/>
      <c r="GT231" s="179"/>
      <c r="GU231" s="179"/>
      <c r="GV231" s="179"/>
      <c r="GW231" s="179"/>
      <c r="GX231" s="179"/>
      <c r="GY231" s="179"/>
      <c r="GZ231" s="179"/>
      <c r="HA231" s="179"/>
      <c r="HB231" s="179"/>
      <c r="HC231" s="179"/>
      <c r="HD231" s="179"/>
      <c r="HE231" s="179"/>
      <c r="HF231" s="179"/>
      <c r="HG231" s="179"/>
      <c r="HH231" s="179"/>
      <c r="HI231" s="179"/>
      <c r="HJ231" s="179"/>
      <c r="HK231" s="179"/>
      <c r="HL231" s="179"/>
      <c r="HM231" s="179"/>
      <c r="HN231" s="179"/>
      <c r="HO231" s="179"/>
      <c r="HP231" s="179"/>
      <c r="HQ231" s="179"/>
      <c r="HR231" s="179"/>
      <c r="HS231" s="179"/>
      <c r="HT231" s="179"/>
      <c r="HU231" s="179"/>
      <c r="HV231" s="179"/>
      <c r="HW231" s="179"/>
      <c r="HX231" s="179"/>
      <c r="HY231" s="179"/>
      <c r="HZ231" s="179"/>
      <c r="IA231" s="179"/>
      <c r="IB231" s="179"/>
      <c r="IC231" s="179"/>
      <c r="ID231" s="179"/>
      <c r="IE231" s="179"/>
      <c r="IF231" s="179"/>
      <c r="IG231" s="179"/>
      <c r="IH231" s="179"/>
      <c r="II231" s="179"/>
      <c r="IJ231" s="179"/>
      <c r="IK231" s="179"/>
      <c r="IL231" s="179"/>
      <c r="IM231" s="179"/>
      <c r="IN231" s="179"/>
      <c r="IO231" s="179"/>
      <c r="IP231" s="179"/>
      <c r="IQ231" s="179"/>
      <c r="IR231" s="179"/>
    </row>
    <row r="232" spans="1:253">
      <c r="A232" s="218" t="s">
        <v>1123</v>
      </c>
      <c r="B232" s="193">
        <v>554069.73</v>
      </c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79"/>
      <c r="BD232" s="179"/>
      <c r="BE232" s="179"/>
      <c r="BF232" s="179"/>
      <c r="BG232" s="179"/>
      <c r="BH232" s="179"/>
      <c r="BI232" s="179"/>
      <c r="BJ232" s="179"/>
      <c r="BK232" s="179"/>
      <c r="BL232" s="179"/>
      <c r="BM232" s="179"/>
      <c r="BN232" s="179"/>
      <c r="BO232" s="179"/>
      <c r="BP232" s="179"/>
      <c r="BQ232" s="179"/>
      <c r="BR232" s="179"/>
      <c r="BS232" s="179"/>
      <c r="BT232" s="179"/>
      <c r="BU232" s="179"/>
      <c r="BV232" s="179"/>
      <c r="BW232" s="179"/>
      <c r="BX232" s="179"/>
      <c r="BY232" s="179"/>
      <c r="BZ232" s="179"/>
      <c r="CA232" s="179"/>
      <c r="CB232" s="179"/>
      <c r="CC232" s="179"/>
      <c r="CD232" s="179"/>
      <c r="CE232" s="179"/>
      <c r="CF232" s="179"/>
      <c r="CG232" s="179"/>
      <c r="CH232" s="179"/>
      <c r="CI232" s="179"/>
      <c r="CJ232" s="179"/>
      <c r="CK232" s="179"/>
      <c r="CL232" s="179"/>
      <c r="CM232" s="179"/>
      <c r="CN232" s="179"/>
      <c r="CO232" s="179"/>
      <c r="CP232" s="179"/>
      <c r="CQ232" s="179"/>
      <c r="CR232" s="179"/>
      <c r="CS232" s="179"/>
      <c r="CT232" s="179"/>
      <c r="CU232" s="179"/>
      <c r="CV232" s="179"/>
      <c r="CW232" s="179"/>
      <c r="CX232" s="179"/>
      <c r="CY232" s="179"/>
      <c r="CZ232" s="179"/>
      <c r="DA232" s="179"/>
      <c r="DB232" s="179"/>
      <c r="DC232" s="179"/>
      <c r="DD232" s="179"/>
      <c r="DE232" s="179"/>
      <c r="DF232" s="179"/>
      <c r="DG232" s="179"/>
      <c r="DH232" s="179"/>
      <c r="DI232" s="179"/>
      <c r="DJ232" s="179"/>
      <c r="DK232" s="179"/>
      <c r="DL232" s="179"/>
      <c r="DM232" s="179"/>
      <c r="DN232" s="179"/>
      <c r="DO232" s="179"/>
      <c r="DP232" s="179"/>
      <c r="DQ232" s="179"/>
      <c r="DR232" s="179"/>
      <c r="DS232" s="179"/>
      <c r="DT232" s="179"/>
      <c r="DU232" s="179"/>
      <c r="DV232" s="179"/>
      <c r="DW232" s="179"/>
      <c r="DX232" s="179"/>
      <c r="DY232" s="179"/>
      <c r="DZ232" s="179"/>
      <c r="EA232" s="179"/>
      <c r="EB232" s="179"/>
      <c r="EC232" s="179"/>
      <c r="ED232" s="179"/>
      <c r="EE232" s="179"/>
      <c r="EF232" s="179"/>
      <c r="EG232" s="179"/>
      <c r="EH232" s="179"/>
      <c r="EI232" s="179"/>
      <c r="EJ232" s="179"/>
      <c r="EK232" s="179"/>
      <c r="EL232" s="179"/>
      <c r="EM232" s="179"/>
      <c r="EN232" s="179"/>
      <c r="EO232" s="179"/>
      <c r="EP232" s="179"/>
      <c r="EQ232" s="179"/>
      <c r="ER232" s="179"/>
      <c r="ES232" s="179"/>
      <c r="ET232" s="179"/>
      <c r="EU232" s="179"/>
      <c r="EV232" s="179"/>
      <c r="EW232" s="179"/>
      <c r="EX232" s="179"/>
      <c r="EY232" s="179"/>
      <c r="EZ232" s="179"/>
      <c r="FA232" s="179"/>
      <c r="FB232" s="179"/>
      <c r="FC232" s="179"/>
      <c r="FD232" s="179"/>
      <c r="FE232" s="179"/>
      <c r="FF232" s="179"/>
      <c r="FG232" s="179"/>
      <c r="FH232" s="179"/>
      <c r="FI232" s="179"/>
      <c r="FJ232" s="179"/>
      <c r="FK232" s="179"/>
      <c r="FL232" s="179"/>
      <c r="FM232" s="179"/>
      <c r="FN232" s="179"/>
      <c r="FO232" s="179"/>
      <c r="FP232" s="179"/>
      <c r="FQ232" s="179"/>
      <c r="FR232" s="179"/>
      <c r="FS232" s="179"/>
      <c r="FT232" s="179"/>
      <c r="FU232" s="179"/>
      <c r="FV232" s="179"/>
      <c r="FW232" s="179"/>
      <c r="FX232" s="179"/>
      <c r="FY232" s="179"/>
      <c r="FZ232" s="179"/>
      <c r="GA232" s="179"/>
      <c r="GB232" s="179"/>
      <c r="GC232" s="179"/>
      <c r="GD232" s="179"/>
      <c r="GE232" s="179"/>
      <c r="GF232" s="179"/>
      <c r="GG232" s="179"/>
      <c r="GH232" s="179"/>
      <c r="GI232" s="179"/>
      <c r="GJ232" s="179"/>
      <c r="GK232" s="179"/>
      <c r="GL232" s="179"/>
      <c r="GM232" s="179"/>
      <c r="GN232" s="179"/>
      <c r="GO232" s="179"/>
      <c r="GP232" s="179"/>
      <c r="GQ232" s="179"/>
      <c r="GR232" s="179"/>
      <c r="GS232" s="179"/>
      <c r="GT232" s="179"/>
      <c r="GU232" s="179"/>
      <c r="GV232" s="179"/>
      <c r="GW232" s="179"/>
      <c r="GX232" s="179"/>
      <c r="GY232" s="179"/>
      <c r="GZ232" s="179"/>
      <c r="HA232" s="179"/>
      <c r="HB232" s="179"/>
      <c r="HC232" s="179"/>
      <c r="HD232" s="179"/>
      <c r="HE232" s="179"/>
      <c r="HF232" s="179"/>
      <c r="HG232" s="179"/>
      <c r="HH232" s="179"/>
      <c r="HI232" s="179"/>
      <c r="HJ232" s="179"/>
      <c r="HK232" s="179"/>
      <c r="HL232" s="179"/>
      <c r="HM232" s="179"/>
      <c r="HN232" s="179"/>
      <c r="HO232" s="179"/>
      <c r="HP232" s="179"/>
      <c r="HQ232" s="179"/>
      <c r="HR232" s="179"/>
      <c r="HS232" s="179"/>
      <c r="HT232" s="179"/>
      <c r="HU232" s="179"/>
      <c r="HV232" s="179"/>
      <c r="HW232" s="179"/>
      <c r="HX232" s="179"/>
      <c r="HY232" s="179"/>
      <c r="HZ232" s="179"/>
      <c r="IA232" s="179"/>
      <c r="IB232" s="179"/>
      <c r="IC232" s="179"/>
      <c r="ID232" s="179"/>
      <c r="IE232" s="179"/>
      <c r="IF232" s="179"/>
      <c r="IG232" s="179"/>
      <c r="IH232" s="179"/>
      <c r="II232" s="179"/>
      <c r="IJ232" s="179"/>
      <c r="IK232" s="179"/>
      <c r="IL232" s="179"/>
      <c r="IM232" s="179"/>
      <c r="IN232" s="179"/>
      <c r="IO232" s="179"/>
      <c r="IP232" s="179"/>
      <c r="IQ232" s="179"/>
      <c r="IR232" s="179"/>
    </row>
    <row r="233" spans="1:253">
      <c r="A233" s="218" t="s">
        <v>1602</v>
      </c>
      <c r="B233" s="193">
        <f>4139.4+9926.08</f>
        <v>14065.48</v>
      </c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79"/>
      <c r="AT233" s="179"/>
      <c r="AU233" s="179"/>
      <c r="AV233" s="179"/>
      <c r="AW233" s="179"/>
      <c r="AX233" s="179"/>
      <c r="AY233" s="179"/>
      <c r="AZ233" s="179"/>
      <c r="BA233" s="179"/>
      <c r="BB233" s="179"/>
      <c r="BC233" s="179"/>
      <c r="BD233" s="179"/>
      <c r="BE233" s="179"/>
      <c r="BF233" s="179"/>
      <c r="BG233" s="179"/>
      <c r="BH233" s="179"/>
      <c r="BI233" s="179"/>
      <c r="BJ233" s="179"/>
      <c r="BK233" s="179"/>
      <c r="BL233" s="179"/>
      <c r="BM233" s="179"/>
      <c r="BN233" s="179"/>
      <c r="BO233" s="179"/>
      <c r="BP233" s="179"/>
      <c r="BQ233" s="179"/>
      <c r="BR233" s="179"/>
      <c r="BS233" s="179"/>
      <c r="BT233" s="179"/>
      <c r="BU233" s="179"/>
      <c r="BV233" s="179"/>
      <c r="BW233" s="179"/>
      <c r="BX233" s="179"/>
      <c r="BY233" s="179"/>
      <c r="BZ233" s="179"/>
      <c r="CA233" s="179"/>
      <c r="CB233" s="179"/>
      <c r="CC233" s="179"/>
      <c r="CD233" s="179"/>
      <c r="CE233" s="179"/>
      <c r="CF233" s="179"/>
      <c r="CG233" s="179"/>
      <c r="CH233" s="179"/>
      <c r="CI233" s="179"/>
      <c r="CJ233" s="179"/>
      <c r="CK233" s="179"/>
      <c r="CL233" s="179"/>
      <c r="CM233" s="179"/>
      <c r="CN233" s="179"/>
      <c r="CO233" s="179"/>
      <c r="CP233" s="179"/>
      <c r="CQ233" s="179"/>
      <c r="CR233" s="179"/>
      <c r="CS233" s="179"/>
      <c r="CT233" s="179"/>
      <c r="CU233" s="179"/>
      <c r="CV233" s="179"/>
      <c r="CW233" s="179"/>
      <c r="CX233" s="179"/>
      <c r="CY233" s="179"/>
      <c r="CZ233" s="179"/>
      <c r="DA233" s="179"/>
      <c r="DB233" s="179"/>
      <c r="DC233" s="179"/>
      <c r="DD233" s="179"/>
      <c r="DE233" s="179"/>
      <c r="DF233" s="179"/>
      <c r="DG233" s="179"/>
      <c r="DH233" s="179"/>
      <c r="DI233" s="179"/>
      <c r="DJ233" s="179"/>
      <c r="DK233" s="179"/>
      <c r="DL233" s="179"/>
      <c r="DM233" s="179"/>
      <c r="DN233" s="179"/>
      <c r="DO233" s="179"/>
      <c r="DP233" s="179"/>
      <c r="DQ233" s="179"/>
      <c r="DR233" s="179"/>
      <c r="DS233" s="179"/>
      <c r="DT233" s="179"/>
      <c r="DU233" s="179"/>
      <c r="DV233" s="179"/>
      <c r="DW233" s="179"/>
      <c r="DX233" s="179"/>
      <c r="DY233" s="179"/>
      <c r="DZ233" s="179"/>
      <c r="EA233" s="179"/>
      <c r="EB233" s="179"/>
      <c r="EC233" s="179"/>
      <c r="ED233" s="179"/>
      <c r="EE233" s="179"/>
      <c r="EF233" s="179"/>
      <c r="EG233" s="179"/>
      <c r="EH233" s="179"/>
      <c r="EI233" s="179"/>
      <c r="EJ233" s="179"/>
      <c r="EK233" s="179"/>
      <c r="EL233" s="179"/>
      <c r="EM233" s="179"/>
      <c r="EN233" s="179"/>
      <c r="EO233" s="179"/>
      <c r="EP233" s="179"/>
      <c r="EQ233" s="179"/>
      <c r="ER233" s="179"/>
      <c r="ES233" s="179"/>
      <c r="ET233" s="179"/>
      <c r="EU233" s="179"/>
      <c r="EV233" s="179"/>
      <c r="EW233" s="179"/>
      <c r="EX233" s="179"/>
      <c r="EY233" s="179"/>
      <c r="EZ233" s="179"/>
      <c r="FA233" s="179"/>
      <c r="FB233" s="179"/>
      <c r="FC233" s="179"/>
      <c r="FD233" s="179"/>
      <c r="FE233" s="179"/>
      <c r="FF233" s="179"/>
      <c r="FG233" s="179"/>
      <c r="FH233" s="179"/>
      <c r="FI233" s="179"/>
      <c r="FJ233" s="179"/>
      <c r="FK233" s="179"/>
      <c r="FL233" s="179"/>
      <c r="FM233" s="179"/>
      <c r="FN233" s="179"/>
      <c r="FO233" s="179"/>
      <c r="FP233" s="179"/>
      <c r="FQ233" s="179"/>
      <c r="FR233" s="179"/>
      <c r="FS233" s="179"/>
      <c r="FT233" s="179"/>
      <c r="FU233" s="179"/>
      <c r="FV233" s="179"/>
      <c r="FW233" s="179"/>
      <c r="FX233" s="179"/>
      <c r="FY233" s="179"/>
      <c r="FZ233" s="179"/>
      <c r="GA233" s="179"/>
      <c r="GB233" s="179"/>
      <c r="GC233" s="179"/>
      <c r="GD233" s="179"/>
      <c r="GE233" s="179"/>
      <c r="GF233" s="179"/>
      <c r="GG233" s="179"/>
      <c r="GH233" s="179"/>
      <c r="GI233" s="179"/>
      <c r="GJ233" s="179"/>
      <c r="GK233" s="179"/>
      <c r="GL233" s="179"/>
      <c r="GM233" s="179"/>
      <c r="GN233" s="179"/>
      <c r="GO233" s="179"/>
      <c r="GP233" s="179"/>
      <c r="GQ233" s="179"/>
      <c r="GR233" s="179"/>
      <c r="GS233" s="179"/>
      <c r="GT233" s="179"/>
      <c r="GU233" s="179"/>
      <c r="GV233" s="179"/>
      <c r="GW233" s="179"/>
      <c r="GX233" s="179"/>
      <c r="GY233" s="179"/>
      <c r="GZ233" s="179"/>
      <c r="HA233" s="179"/>
      <c r="HB233" s="179"/>
      <c r="HC233" s="179"/>
      <c r="HD233" s="179"/>
      <c r="HE233" s="179"/>
      <c r="HF233" s="179"/>
      <c r="HG233" s="179"/>
      <c r="HH233" s="179"/>
      <c r="HI233" s="179"/>
      <c r="HJ233" s="179"/>
      <c r="HK233" s="179"/>
      <c r="HL233" s="179"/>
      <c r="HM233" s="179"/>
      <c r="HN233" s="179"/>
      <c r="HO233" s="179"/>
      <c r="HP233" s="179"/>
      <c r="HQ233" s="179"/>
      <c r="HR233" s="179"/>
      <c r="HS233" s="179"/>
      <c r="HT233" s="179"/>
      <c r="HU233" s="179"/>
      <c r="HV233" s="179"/>
      <c r="HW233" s="179"/>
      <c r="HX233" s="179"/>
      <c r="HY233" s="179"/>
      <c r="HZ233" s="179"/>
      <c r="IA233" s="179"/>
      <c r="IB233" s="179"/>
      <c r="IC233" s="179"/>
      <c r="ID233" s="179"/>
      <c r="IE233" s="179"/>
      <c r="IF233" s="179"/>
      <c r="IG233" s="179"/>
      <c r="IH233" s="179"/>
      <c r="II233" s="179"/>
      <c r="IJ233" s="179"/>
      <c r="IK233" s="179"/>
      <c r="IL233" s="179"/>
      <c r="IM233" s="179"/>
      <c r="IN233" s="179"/>
      <c r="IO233" s="179"/>
      <c r="IP233" s="179"/>
      <c r="IQ233" s="179"/>
      <c r="IR233" s="179"/>
    </row>
    <row r="234" spans="1:253">
      <c r="A234" s="218" t="s">
        <v>1598</v>
      </c>
      <c r="B234" s="193">
        <f>B231+B232+B233-B235</f>
        <v>517275.41000000003</v>
      </c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9"/>
      <c r="AU234" s="179"/>
      <c r="AV234" s="179"/>
      <c r="AW234" s="179"/>
      <c r="AX234" s="179"/>
      <c r="AY234" s="179"/>
      <c r="AZ234" s="179"/>
      <c r="BA234" s="179"/>
      <c r="BB234" s="179"/>
      <c r="BC234" s="179"/>
      <c r="BD234" s="179"/>
      <c r="BE234" s="179"/>
      <c r="BF234" s="179"/>
      <c r="BG234" s="179"/>
      <c r="BH234" s="179"/>
      <c r="BI234" s="179"/>
      <c r="BJ234" s="179"/>
      <c r="BK234" s="179"/>
      <c r="BL234" s="179"/>
      <c r="BM234" s="179"/>
      <c r="BN234" s="179"/>
      <c r="BO234" s="179"/>
      <c r="BP234" s="179"/>
      <c r="BQ234" s="179"/>
      <c r="BR234" s="179"/>
      <c r="BS234" s="179"/>
      <c r="BT234" s="179"/>
      <c r="BU234" s="179"/>
      <c r="BV234" s="179"/>
      <c r="BW234" s="179"/>
      <c r="BX234" s="179"/>
      <c r="BY234" s="179"/>
      <c r="BZ234" s="179"/>
      <c r="CA234" s="179"/>
      <c r="CB234" s="179"/>
      <c r="CC234" s="179"/>
      <c r="CD234" s="179"/>
      <c r="CE234" s="179"/>
      <c r="CF234" s="179"/>
      <c r="CG234" s="179"/>
      <c r="CH234" s="179"/>
      <c r="CI234" s="179"/>
      <c r="CJ234" s="179"/>
      <c r="CK234" s="179"/>
      <c r="CL234" s="179"/>
      <c r="CM234" s="179"/>
      <c r="CN234" s="179"/>
      <c r="CO234" s="179"/>
      <c r="CP234" s="179"/>
      <c r="CQ234" s="179"/>
      <c r="CR234" s="179"/>
      <c r="CS234" s="179"/>
      <c r="CT234" s="179"/>
      <c r="CU234" s="179"/>
      <c r="CV234" s="179"/>
      <c r="CW234" s="179"/>
      <c r="CX234" s="179"/>
      <c r="CY234" s="179"/>
      <c r="CZ234" s="179"/>
      <c r="DA234" s="179"/>
      <c r="DB234" s="179"/>
      <c r="DC234" s="179"/>
      <c r="DD234" s="179"/>
      <c r="DE234" s="179"/>
      <c r="DF234" s="179"/>
      <c r="DG234" s="179"/>
      <c r="DH234" s="179"/>
      <c r="DI234" s="179"/>
      <c r="DJ234" s="179"/>
      <c r="DK234" s="179"/>
      <c r="DL234" s="179"/>
      <c r="DM234" s="179"/>
      <c r="DN234" s="179"/>
      <c r="DO234" s="179"/>
      <c r="DP234" s="179"/>
      <c r="DQ234" s="179"/>
      <c r="DR234" s="179"/>
      <c r="DS234" s="179"/>
      <c r="DT234" s="179"/>
      <c r="DU234" s="179"/>
      <c r="DV234" s="179"/>
      <c r="DW234" s="179"/>
      <c r="DX234" s="179"/>
      <c r="DY234" s="179"/>
      <c r="DZ234" s="179"/>
      <c r="EA234" s="179"/>
      <c r="EB234" s="179"/>
      <c r="EC234" s="179"/>
      <c r="ED234" s="179"/>
      <c r="EE234" s="179"/>
      <c r="EF234" s="179"/>
      <c r="EG234" s="179"/>
      <c r="EH234" s="179"/>
      <c r="EI234" s="179"/>
      <c r="EJ234" s="179"/>
      <c r="EK234" s="179"/>
      <c r="EL234" s="179"/>
      <c r="EM234" s="179"/>
      <c r="EN234" s="179"/>
      <c r="EO234" s="179"/>
      <c r="EP234" s="179"/>
      <c r="EQ234" s="179"/>
      <c r="ER234" s="179"/>
      <c r="ES234" s="179"/>
      <c r="ET234" s="179"/>
      <c r="EU234" s="179"/>
      <c r="EV234" s="179"/>
      <c r="EW234" s="179"/>
      <c r="EX234" s="179"/>
      <c r="EY234" s="179"/>
      <c r="EZ234" s="179"/>
      <c r="FA234" s="179"/>
      <c r="FB234" s="179"/>
      <c r="FC234" s="179"/>
      <c r="FD234" s="179"/>
      <c r="FE234" s="179"/>
      <c r="FF234" s="179"/>
      <c r="FG234" s="179"/>
      <c r="FH234" s="179"/>
      <c r="FI234" s="179"/>
      <c r="FJ234" s="179"/>
      <c r="FK234" s="179"/>
      <c r="FL234" s="179"/>
      <c r="FM234" s="179"/>
      <c r="FN234" s="179"/>
      <c r="FO234" s="179"/>
      <c r="FP234" s="179"/>
      <c r="FQ234" s="179"/>
      <c r="FR234" s="179"/>
      <c r="FS234" s="179"/>
      <c r="FT234" s="179"/>
      <c r="FU234" s="179"/>
      <c r="FV234" s="179"/>
      <c r="FW234" s="179"/>
      <c r="FX234" s="179"/>
      <c r="FY234" s="179"/>
      <c r="FZ234" s="179"/>
      <c r="GA234" s="179"/>
      <c r="GB234" s="179"/>
      <c r="GC234" s="179"/>
      <c r="GD234" s="179"/>
      <c r="GE234" s="179"/>
      <c r="GF234" s="179"/>
      <c r="GG234" s="179"/>
      <c r="GH234" s="179"/>
      <c r="GI234" s="179"/>
      <c r="GJ234" s="179"/>
      <c r="GK234" s="179"/>
      <c r="GL234" s="179"/>
      <c r="GM234" s="179"/>
      <c r="GN234" s="179"/>
      <c r="GO234" s="179"/>
      <c r="GP234" s="179"/>
      <c r="GQ234" s="179"/>
      <c r="GR234" s="179"/>
      <c r="GS234" s="179"/>
      <c r="GT234" s="179"/>
      <c r="GU234" s="179"/>
      <c r="GV234" s="179"/>
      <c r="GW234" s="179"/>
      <c r="GX234" s="179"/>
      <c r="GY234" s="179"/>
      <c r="GZ234" s="179"/>
      <c r="HA234" s="179"/>
      <c r="HB234" s="179"/>
      <c r="HC234" s="179"/>
      <c r="HD234" s="179"/>
      <c r="HE234" s="179"/>
      <c r="HF234" s="179"/>
      <c r="HG234" s="179"/>
      <c r="HH234" s="179"/>
      <c r="HI234" s="179"/>
      <c r="HJ234" s="179"/>
      <c r="HK234" s="179"/>
      <c r="HL234" s="179"/>
      <c r="HM234" s="179"/>
      <c r="HN234" s="179"/>
      <c r="HO234" s="179"/>
      <c r="HP234" s="179"/>
      <c r="HQ234" s="179"/>
      <c r="HR234" s="179"/>
      <c r="HS234" s="179"/>
      <c r="HT234" s="179"/>
      <c r="HU234" s="179"/>
      <c r="HV234" s="179"/>
      <c r="HW234" s="179"/>
      <c r="HX234" s="179"/>
      <c r="HY234" s="179"/>
      <c r="HZ234" s="179"/>
      <c r="IA234" s="179"/>
      <c r="IB234" s="179"/>
      <c r="IC234" s="179"/>
      <c r="ID234" s="179"/>
      <c r="IE234" s="179"/>
      <c r="IF234" s="179"/>
      <c r="IG234" s="179"/>
      <c r="IH234" s="179"/>
      <c r="II234" s="179"/>
      <c r="IJ234" s="179"/>
      <c r="IK234" s="179"/>
      <c r="IL234" s="179"/>
      <c r="IM234" s="179"/>
      <c r="IN234" s="179"/>
      <c r="IO234" s="179"/>
      <c r="IP234" s="179"/>
      <c r="IQ234" s="179"/>
      <c r="IR234" s="179"/>
    </row>
    <row r="235" spans="1:253">
      <c r="A235" s="218" t="s">
        <v>1597</v>
      </c>
      <c r="B235" s="193">
        <v>159207.32999999999</v>
      </c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9"/>
      <c r="AV235" s="179"/>
      <c r="AW235" s="179"/>
      <c r="AX235" s="179"/>
      <c r="AY235" s="179"/>
      <c r="AZ235" s="179"/>
      <c r="BA235" s="179"/>
      <c r="BB235" s="179"/>
      <c r="BC235" s="179"/>
      <c r="BD235" s="179"/>
      <c r="BE235" s="179"/>
      <c r="BF235" s="179"/>
      <c r="BG235" s="179"/>
      <c r="BH235" s="179"/>
      <c r="BI235" s="179"/>
      <c r="BJ235" s="179"/>
      <c r="BK235" s="179"/>
      <c r="BL235" s="179"/>
      <c r="BM235" s="179"/>
      <c r="BN235" s="179"/>
      <c r="BO235" s="179"/>
      <c r="BP235" s="179"/>
      <c r="BQ235" s="179"/>
      <c r="BR235" s="179"/>
      <c r="BS235" s="179"/>
      <c r="BT235" s="179"/>
      <c r="BU235" s="179"/>
      <c r="BV235" s="179"/>
      <c r="BW235" s="179"/>
      <c r="BX235" s="179"/>
      <c r="BY235" s="179"/>
      <c r="BZ235" s="179"/>
      <c r="CA235" s="179"/>
      <c r="CB235" s="179"/>
      <c r="CC235" s="179"/>
      <c r="CD235" s="179"/>
      <c r="CE235" s="179"/>
      <c r="CF235" s="179"/>
      <c r="CG235" s="179"/>
      <c r="CH235" s="179"/>
      <c r="CI235" s="179"/>
      <c r="CJ235" s="179"/>
      <c r="CK235" s="179"/>
      <c r="CL235" s="179"/>
      <c r="CM235" s="179"/>
      <c r="CN235" s="179"/>
      <c r="CO235" s="179"/>
      <c r="CP235" s="179"/>
      <c r="CQ235" s="179"/>
      <c r="CR235" s="179"/>
      <c r="CS235" s="179"/>
      <c r="CT235" s="179"/>
      <c r="CU235" s="179"/>
      <c r="CV235" s="179"/>
      <c r="CW235" s="179"/>
      <c r="CX235" s="179"/>
      <c r="CY235" s="179"/>
      <c r="CZ235" s="179"/>
      <c r="DA235" s="179"/>
      <c r="DB235" s="179"/>
      <c r="DC235" s="179"/>
      <c r="DD235" s="179"/>
      <c r="DE235" s="179"/>
      <c r="DF235" s="179"/>
      <c r="DG235" s="179"/>
      <c r="DH235" s="179"/>
      <c r="DI235" s="179"/>
      <c r="DJ235" s="179"/>
      <c r="DK235" s="179"/>
      <c r="DL235" s="179"/>
      <c r="DM235" s="179"/>
      <c r="DN235" s="179"/>
      <c r="DO235" s="179"/>
      <c r="DP235" s="179"/>
      <c r="DQ235" s="179"/>
      <c r="DR235" s="179"/>
      <c r="DS235" s="179"/>
      <c r="DT235" s="179"/>
      <c r="DU235" s="179"/>
      <c r="DV235" s="179"/>
      <c r="DW235" s="179"/>
      <c r="DX235" s="179"/>
      <c r="DY235" s="179"/>
      <c r="DZ235" s="179"/>
      <c r="EA235" s="179"/>
      <c r="EB235" s="179"/>
      <c r="EC235" s="179"/>
      <c r="ED235" s="179"/>
      <c r="EE235" s="179"/>
      <c r="EF235" s="179"/>
      <c r="EG235" s="179"/>
      <c r="EH235" s="179"/>
      <c r="EI235" s="179"/>
      <c r="EJ235" s="179"/>
      <c r="EK235" s="179"/>
      <c r="EL235" s="179"/>
      <c r="EM235" s="179"/>
      <c r="EN235" s="179"/>
      <c r="EO235" s="179"/>
      <c r="EP235" s="179"/>
      <c r="EQ235" s="179"/>
      <c r="ER235" s="179"/>
      <c r="ES235" s="179"/>
      <c r="ET235" s="179"/>
      <c r="EU235" s="179"/>
      <c r="EV235" s="179"/>
      <c r="EW235" s="179"/>
      <c r="EX235" s="179"/>
      <c r="EY235" s="179"/>
      <c r="EZ235" s="179"/>
      <c r="FA235" s="179"/>
      <c r="FB235" s="179"/>
      <c r="FC235" s="179"/>
      <c r="FD235" s="179"/>
      <c r="FE235" s="179"/>
      <c r="FF235" s="179"/>
      <c r="FG235" s="179"/>
      <c r="FH235" s="179"/>
      <c r="FI235" s="179"/>
      <c r="FJ235" s="179"/>
      <c r="FK235" s="179"/>
      <c r="FL235" s="179"/>
      <c r="FM235" s="179"/>
      <c r="FN235" s="179"/>
      <c r="FO235" s="179"/>
      <c r="FP235" s="179"/>
      <c r="FQ235" s="179"/>
      <c r="FR235" s="179"/>
      <c r="FS235" s="179"/>
      <c r="FT235" s="179"/>
      <c r="FU235" s="179"/>
      <c r="FV235" s="179"/>
      <c r="FW235" s="179"/>
      <c r="FX235" s="179"/>
      <c r="FY235" s="179"/>
      <c r="FZ235" s="179"/>
      <c r="GA235" s="179"/>
      <c r="GB235" s="179"/>
      <c r="GC235" s="179"/>
      <c r="GD235" s="179"/>
      <c r="GE235" s="179"/>
      <c r="GF235" s="179"/>
      <c r="GG235" s="179"/>
      <c r="GH235" s="179"/>
      <c r="GI235" s="179"/>
      <c r="GJ235" s="179"/>
      <c r="GK235" s="179"/>
      <c r="GL235" s="179"/>
      <c r="GM235" s="179"/>
      <c r="GN235" s="179"/>
      <c r="GO235" s="179"/>
      <c r="GP235" s="179"/>
      <c r="GQ235" s="179"/>
      <c r="GR235" s="179"/>
      <c r="GS235" s="179"/>
      <c r="GT235" s="179"/>
      <c r="GU235" s="179"/>
      <c r="GV235" s="179"/>
      <c r="GW235" s="179"/>
      <c r="GX235" s="179"/>
      <c r="GY235" s="179"/>
      <c r="GZ235" s="179"/>
      <c r="HA235" s="179"/>
      <c r="HB235" s="179"/>
      <c r="HC235" s="179"/>
      <c r="HD235" s="179"/>
      <c r="HE235" s="179"/>
      <c r="HF235" s="179"/>
      <c r="HG235" s="179"/>
      <c r="HH235" s="179"/>
      <c r="HI235" s="179"/>
      <c r="HJ235" s="179"/>
      <c r="HK235" s="179"/>
      <c r="HL235" s="179"/>
      <c r="HM235" s="179"/>
      <c r="HN235" s="179"/>
      <c r="HO235" s="179"/>
      <c r="HP235" s="179"/>
      <c r="HQ235" s="179"/>
      <c r="HR235" s="179"/>
      <c r="HS235" s="179"/>
      <c r="HT235" s="179"/>
      <c r="HU235" s="179"/>
      <c r="HV235" s="179"/>
      <c r="HW235" s="179"/>
      <c r="HX235" s="179"/>
      <c r="HY235" s="179"/>
      <c r="HZ235" s="179"/>
      <c r="IA235" s="179"/>
      <c r="IB235" s="179"/>
      <c r="IC235" s="179"/>
      <c r="ID235" s="179"/>
      <c r="IE235" s="179"/>
      <c r="IF235" s="179"/>
      <c r="IG235" s="179"/>
      <c r="IH235" s="179"/>
      <c r="II235" s="179"/>
      <c r="IJ235" s="179"/>
      <c r="IK235" s="179"/>
      <c r="IL235" s="179"/>
      <c r="IM235" s="179"/>
      <c r="IN235" s="179"/>
      <c r="IO235" s="179"/>
      <c r="IP235" s="179"/>
      <c r="IQ235" s="179"/>
      <c r="IR235" s="179"/>
    </row>
    <row r="236" spans="1:253" ht="18.75" customHeight="1">
      <c r="A236" s="216" t="s">
        <v>2025</v>
      </c>
      <c r="B236" s="196">
        <f>B234</f>
        <v>517275.41000000003</v>
      </c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79"/>
      <c r="AV236" s="179"/>
      <c r="AW236" s="179"/>
      <c r="AX236" s="179"/>
      <c r="AY236" s="179"/>
      <c r="AZ236" s="179"/>
      <c r="BA236" s="179"/>
      <c r="BB236" s="179"/>
      <c r="BC236" s="179"/>
      <c r="BD236" s="179"/>
      <c r="BE236" s="179"/>
      <c r="BF236" s="179"/>
      <c r="BG236" s="179"/>
      <c r="BH236" s="179"/>
      <c r="BI236" s="179"/>
      <c r="BJ236" s="179"/>
      <c r="BK236" s="179"/>
      <c r="BL236" s="179"/>
      <c r="BM236" s="179"/>
      <c r="BN236" s="179"/>
      <c r="BO236" s="179"/>
      <c r="BP236" s="179"/>
      <c r="BQ236" s="179"/>
      <c r="BR236" s="179"/>
      <c r="BS236" s="179"/>
      <c r="BT236" s="179"/>
      <c r="BU236" s="179"/>
      <c r="BV236" s="179"/>
      <c r="BW236" s="179"/>
      <c r="BX236" s="179"/>
      <c r="BY236" s="179"/>
      <c r="BZ236" s="179"/>
      <c r="CA236" s="179"/>
      <c r="CB236" s="179"/>
      <c r="CC236" s="179"/>
      <c r="CD236" s="179"/>
      <c r="CE236" s="179"/>
      <c r="CF236" s="179"/>
      <c r="CG236" s="179"/>
      <c r="CH236" s="179"/>
      <c r="CI236" s="179"/>
      <c r="CJ236" s="179"/>
      <c r="CK236" s="179"/>
      <c r="CL236" s="179"/>
      <c r="CM236" s="179"/>
      <c r="CN236" s="179"/>
      <c r="CO236" s="179"/>
      <c r="CP236" s="179"/>
      <c r="CQ236" s="179"/>
      <c r="CR236" s="179"/>
      <c r="CS236" s="179"/>
      <c r="CT236" s="179"/>
      <c r="CU236" s="179"/>
      <c r="CV236" s="179"/>
      <c r="CW236" s="179"/>
      <c r="CX236" s="179"/>
      <c r="CY236" s="179"/>
      <c r="CZ236" s="179"/>
      <c r="DA236" s="179"/>
      <c r="DB236" s="179"/>
      <c r="DC236" s="179"/>
      <c r="DD236" s="179"/>
      <c r="DE236" s="179"/>
      <c r="DF236" s="179"/>
      <c r="DG236" s="179"/>
      <c r="DH236" s="179"/>
      <c r="DI236" s="179"/>
      <c r="DJ236" s="179"/>
      <c r="DK236" s="179"/>
      <c r="DL236" s="179"/>
      <c r="DM236" s="179"/>
      <c r="DN236" s="179"/>
      <c r="DO236" s="179"/>
      <c r="DP236" s="179"/>
      <c r="DQ236" s="179"/>
      <c r="DR236" s="179"/>
      <c r="DS236" s="179"/>
      <c r="DT236" s="179"/>
      <c r="DU236" s="179"/>
      <c r="DV236" s="179"/>
      <c r="DW236" s="179"/>
      <c r="DX236" s="179"/>
      <c r="DY236" s="179"/>
      <c r="DZ236" s="179"/>
      <c r="EA236" s="179"/>
      <c r="EB236" s="179"/>
      <c r="EC236" s="179"/>
      <c r="ED236" s="179"/>
      <c r="EE236" s="179"/>
      <c r="EF236" s="179"/>
      <c r="EG236" s="179"/>
      <c r="EH236" s="179"/>
      <c r="EI236" s="179"/>
      <c r="EJ236" s="179"/>
      <c r="EK236" s="179"/>
      <c r="EL236" s="179"/>
      <c r="EM236" s="179"/>
      <c r="EN236" s="179"/>
      <c r="EO236" s="179"/>
      <c r="EP236" s="179"/>
      <c r="EQ236" s="179"/>
      <c r="ER236" s="179"/>
      <c r="ES236" s="179"/>
      <c r="ET236" s="179"/>
      <c r="EU236" s="179"/>
      <c r="EV236" s="179"/>
      <c r="EW236" s="179"/>
      <c r="EX236" s="179"/>
      <c r="EY236" s="179"/>
      <c r="EZ236" s="179"/>
      <c r="FA236" s="179"/>
      <c r="FB236" s="179"/>
      <c r="FC236" s="179"/>
      <c r="FD236" s="179"/>
      <c r="FE236" s="179"/>
      <c r="FF236" s="179"/>
      <c r="FG236" s="179"/>
      <c r="FH236" s="179"/>
      <c r="FI236" s="179"/>
      <c r="FJ236" s="179"/>
      <c r="FK236" s="179"/>
      <c r="FL236" s="179"/>
      <c r="FM236" s="179"/>
      <c r="FN236" s="179"/>
      <c r="FO236" s="179"/>
      <c r="FP236" s="179"/>
      <c r="FQ236" s="179"/>
      <c r="FR236" s="179"/>
      <c r="FS236" s="179"/>
      <c r="FT236" s="179"/>
      <c r="FU236" s="179"/>
      <c r="FV236" s="179"/>
      <c r="FW236" s="179"/>
      <c r="FX236" s="179"/>
      <c r="FY236" s="179"/>
      <c r="FZ236" s="179"/>
      <c r="GA236" s="179"/>
      <c r="GB236" s="179"/>
      <c r="GC236" s="179"/>
      <c r="GD236" s="179"/>
      <c r="GE236" s="179"/>
      <c r="GF236" s="179"/>
      <c r="GG236" s="179"/>
      <c r="GH236" s="179"/>
      <c r="GI236" s="179"/>
      <c r="GJ236" s="179"/>
      <c r="GK236" s="179"/>
      <c r="GL236" s="179"/>
      <c r="GM236" s="179"/>
      <c r="GN236" s="179"/>
      <c r="GO236" s="179"/>
      <c r="GP236" s="179"/>
      <c r="GQ236" s="179"/>
      <c r="GR236" s="179"/>
      <c r="GS236" s="179"/>
      <c r="GT236" s="179"/>
      <c r="GU236" s="179"/>
      <c r="GV236" s="179"/>
      <c r="GW236" s="179"/>
      <c r="GX236" s="179"/>
      <c r="GY236" s="179"/>
      <c r="GZ236" s="179"/>
      <c r="HA236" s="179"/>
      <c r="HB236" s="179"/>
      <c r="HC236" s="179"/>
      <c r="HD236" s="179"/>
      <c r="HE236" s="179"/>
      <c r="HF236" s="179"/>
      <c r="HG236" s="179"/>
      <c r="HH236" s="179"/>
      <c r="HI236" s="179"/>
      <c r="HJ236" s="179"/>
      <c r="HK236" s="179"/>
      <c r="HL236" s="179"/>
      <c r="HM236" s="179"/>
      <c r="HN236" s="179"/>
      <c r="HO236" s="179"/>
      <c r="HP236" s="179"/>
      <c r="HQ236" s="179"/>
      <c r="HR236" s="179"/>
      <c r="HS236" s="179"/>
      <c r="HT236" s="179"/>
      <c r="HU236" s="179"/>
      <c r="HV236" s="179"/>
      <c r="HW236" s="179"/>
      <c r="HX236" s="179"/>
      <c r="HY236" s="179"/>
      <c r="HZ236" s="179"/>
      <c r="IA236" s="179"/>
      <c r="IB236" s="179"/>
      <c r="IC236" s="179"/>
      <c r="ID236" s="179"/>
      <c r="IE236" s="179"/>
      <c r="IF236" s="179"/>
      <c r="IG236" s="179"/>
      <c r="IH236" s="179"/>
      <c r="II236" s="179"/>
      <c r="IJ236" s="179"/>
      <c r="IK236" s="179"/>
      <c r="IL236" s="179"/>
      <c r="IM236" s="179"/>
      <c r="IN236" s="179"/>
      <c r="IO236" s="179"/>
      <c r="IP236" s="179"/>
      <c r="IQ236" s="179"/>
      <c r="IR236" s="179"/>
    </row>
    <row r="237" spans="1:253">
      <c r="A237" s="179"/>
      <c r="B237" s="213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179"/>
      <c r="AG237" s="179"/>
      <c r="AH237" s="179"/>
      <c r="AI237" s="179"/>
      <c r="AJ237" s="179"/>
      <c r="AK237" s="179"/>
      <c r="AL237" s="179"/>
      <c r="AM237" s="179"/>
      <c r="AN237" s="179"/>
      <c r="AO237" s="179"/>
      <c r="AP237" s="179"/>
      <c r="AQ237" s="179"/>
      <c r="AR237" s="179"/>
      <c r="AS237" s="179"/>
      <c r="AT237" s="179"/>
      <c r="AU237" s="179"/>
      <c r="AV237" s="179"/>
      <c r="AW237" s="179"/>
      <c r="AX237" s="179"/>
      <c r="AY237" s="179"/>
      <c r="AZ237" s="179"/>
      <c r="BA237" s="179"/>
      <c r="BB237" s="179"/>
      <c r="BC237" s="179"/>
      <c r="BD237" s="179"/>
      <c r="BE237" s="179"/>
      <c r="BF237" s="179"/>
      <c r="BG237" s="179"/>
      <c r="BH237" s="179"/>
      <c r="BI237" s="179"/>
      <c r="BJ237" s="179"/>
      <c r="BK237" s="179"/>
      <c r="BL237" s="179"/>
      <c r="BM237" s="179"/>
      <c r="BN237" s="179"/>
      <c r="BO237" s="179"/>
      <c r="BP237" s="179"/>
      <c r="BQ237" s="179"/>
      <c r="BR237" s="179"/>
      <c r="BS237" s="179"/>
      <c r="BT237" s="179"/>
      <c r="BU237" s="179"/>
      <c r="BV237" s="179"/>
      <c r="BW237" s="179"/>
      <c r="BX237" s="179"/>
      <c r="BY237" s="179"/>
      <c r="BZ237" s="179"/>
      <c r="CA237" s="179"/>
      <c r="CB237" s="179"/>
      <c r="CC237" s="179"/>
      <c r="CD237" s="179"/>
      <c r="CE237" s="179"/>
      <c r="CF237" s="179"/>
      <c r="CG237" s="179"/>
      <c r="CH237" s="179"/>
      <c r="CI237" s="179"/>
      <c r="CJ237" s="179"/>
      <c r="CK237" s="179"/>
      <c r="CL237" s="179"/>
      <c r="CM237" s="179"/>
      <c r="CN237" s="179"/>
      <c r="CO237" s="179"/>
      <c r="CP237" s="179"/>
      <c r="CQ237" s="179"/>
      <c r="CR237" s="179"/>
      <c r="CS237" s="179"/>
      <c r="CT237" s="179"/>
      <c r="CU237" s="179"/>
      <c r="CV237" s="179"/>
      <c r="CW237" s="179"/>
      <c r="CX237" s="179"/>
      <c r="CY237" s="179"/>
      <c r="CZ237" s="179"/>
      <c r="DA237" s="179"/>
      <c r="DB237" s="179"/>
      <c r="DC237" s="179"/>
      <c r="DD237" s="179"/>
      <c r="DE237" s="179"/>
      <c r="DF237" s="179"/>
      <c r="DG237" s="179"/>
      <c r="DH237" s="179"/>
      <c r="DI237" s="179"/>
      <c r="DJ237" s="179"/>
      <c r="DK237" s="179"/>
      <c r="DL237" s="179"/>
      <c r="DM237" s="179"/>
      <c r="DN237" s="179"/>
      <c r="DO237" s="179"/>
      <c r="DP237" s="179"/>
      <c r="DQ237" s="179"/>
      <c r="DR237" s="179"/>
      <c r="DS237" s="179"/>
      <c r="DT237" s="179"/>
      <c r="DU237" s="179"/>
      <c r="DV237" s="179"/>
      <c r="DW237" s="179"/>
      <c r="DX237" s="179"/>
      <c r="DY237" s="179"/>
      <c r="DZ237" s="179"/>
      <c r="EA237" s="179"/>
      <c r="EB237" s="179"/>
      <c r="EC237" s="179"/>
      <c r="ED237" s="179"/>
      <c r="EE237" s="179"/>
      <c r="EF237" s="179"/>
      <c r="EG237" s="179"/>
      <c r="EH237" s="179"/>
      <c r="EI237" s="179"/>
      <c r="EJ237" s="179"/>
      <c r="EK237" s="179"/>
      <c r="EL237" s="179"/>
      <c r="EM237" s="179"/>
      <c r="EN237" s="179"/>
      <c r="EO237" s="179"/>
      <c r="EP237" s="179"/>
      <c r="EQ237" s="179"/>
      <c r="ER237" s="179"/>
      <c r="ES237" s="179"/>
      <c r="ET237" s="179"/>
      <c r="EU237" s="179"/>
      <c r="EV237" s="179"/>
      <c r="EW237" s="179"/>
      <c r="EX237" s="179"/>
      <c r="EY237" s="179"/>
      <c r="EZ237" s="179"/>
      <c r="FA237" s="179"/>
      <c r="FB237" s="179"/>
      <c r="FC237" s="179"/>
      <c r="FD237" s="179"/>
      <c r="FE237" s="179"/>
      <c r="FF237" s="179"/>
      <c r="FG237" s="179"/>
      <c r="FH237" s="179"/>
      <c r="FI237" s="179"/>
      <c r="FJ237" s="179"/>
      <c r="FK237" s="179"/>
      <c r="FL237" s="179"/>
      <c r="FM237" s="179"/>
      <c r="FN237" s="179"/>
      <c r="FO237" s="179"/>
      <c r="FP237" s="179"/>
      <c r="FQ237" s="179"/>
      <c r="FR237" s="179"/>
      <c r="FS237" s="179"/>
      <c r="FT237" s="179"/>
      <c r="FU237" s="179"/>
      <c r="FV237" s="179"/>
      <c r="FW237" s="179"/>
      <c r="FX237" s="179"/>
      <c r="FY237" s="179"/>
      <c r="FZ237" s="179"/>
      <c r="GA237" s="179"/>
      <c r="GB237" s="179"/>
      <c r="GC237" s="179"/>
      <c r="GD237" s="179"/>
      <c r="GE237" s="179"/>
      <c r="GF237" s="179"/>
      <c r="GG237" s="179"/>
      <c r="GH237" s="179"/>
      <c r="GI237" s="179"/>
      <c r="GJ237" s="179"/>
      <c r="GK237" s="179"/>
      <c r="GL237" s="179"/>
      <c r="GM237" s="179"/>
      <c r="GN237" s="179"/>
      <c r="GO237" s="179"/>
      <c r="GP237" s="179"/>
      <c r="GQ237" s="179"/>
      <c r="GR237" s="179"/>
      <c r="GS237" s="179"/>
      <c r="GT237" s="179"/>
      <c r="GU237" s="179"/>
      <c r="GV237" s="179"/>
      <c r="GW237" s="179"/>
      <c r="GX237" s="179"/>
      <c r="GY237" s="179"/>
      <c r="GZ237" s="179"/>
      <c r="HA237" s="179"/>
      <c r="HB237" s="179"/>
      <c r="HC237" s="179"/>
      <c r="HD237" s="179"/>
      <c r="HE237" s="179"/>
      <c r="HF237" s="179"/>
      <c r="HG237" s="179"/>
      <c r="HH237" s="179"/>
      <c r="HI237" s="179"/>
      <c r="HJ237" s="179"/>
      <c r="HK237" s="179"/>
      <c r="HL237" s="179"/>
      <c r="HM237" s="179"/>
      <c r="HN237" s="179"/>
      <c r="HO237" s="179"/>
      <c r="HP237" s="179"/>
      <c r="HQ237" s="179"/>
      <c r="HR237" s="179"/>
      <c r="HS237" s="179"/>
      <c r="HT237" s="179"/>
      <c r="HU237" s="179"/>
      <c r="HV237" s="179"/>
      <c r="HW237" s="179"/>
      <c r="HX237" s="179"/>
      <c r="HY237" s="179"/>
      <c r="HZ237" s="179"/>
      <c r="IA237" s="179"/>
      <c r="IB237" s="179"/>
      <c r="IC237" s="179"/>
      <c r="ID237" s="179"/>
      <c r="IE237" s="179"/>
      <c r="IF237" s="179"/>
      <c r="IG237" s="179"/>
      <c r="IH237" s="179"/>
      <c r="II237" s="179"/>
      <c r="IJ237" s="179"/>
      <c r="IK237" s="179"/>
      <c r="IL237" s="179"/>
      <c r="IM237" s="179"/>
      <c r="IN237" s="179"/>
      <c r="IO237" s="179"/>
      <c r="IP237" s="179"/>
      <c r="IQ237" s="179"/>
      <c r="IR237" s="179"/>
    </row>
    <row r="238" spans="1:253">
      <c r="A238" s="324" t="s">
        <v>1600</v>
      </c>
      <c r="B238" s="198">
        <f>B240+B242+B243+B244+B246+B248+B247+B241+B249</f>
        <v>545361.11195965926</v>
      </c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79"/>
      <c r="AI238" s="179"/>
      <c r="AJ238" s="179"/>
      <c r="AK238" s="179"/>
      <c r="AL238" s="179"/>
      <c r="AM238" s="179"/>
      <c r="AN238" s="179"/>
      <c r="AO238" s="179"/>
      <c r="AP238" s="179"/>
      <c r="AQ238" s="179"/>
      <c r="AR238" s="179"/>
      <c r="AS238" s="179"/>
      <c r="AT238" s="179"/>
      <c r="AU238" s="179"/>
      <c r="AV238" s="179"/>
      <c r="AW238" s="179"/>
      <c r="AX238" s="179"/>
      <c r="AY238" s="179"/>
      <c r="AZ238" s="179"/>
      <c r="BA238" s="179"/>
      <c r="BB238" s="179"/>
      <c r="BC238" s="179"/>
      <c r="BD238" s="179"/>
      <c r="BE238" s="179"/>
      <c r="BF238" s="179"/>
      <c r="BG238" s="179"/>
      <c r="BH238" s="179"/>
      <c r="BI238" s="179"/>
      <c r="BJ238" s="179"/>
      <c r="BK238" s="179"/>
      <c r="BL238" s="179"/>
      <c r="BM238" s="179"/>
      <c r="BN238" s="179"/>
      <c r="BO238" s="179"/>
      <c r="BP238" s="179"/>
      <c r="BQ238" s="179"/>
      <c r="BR238" s="179"/>
      <c r="BS238" s="179"/>
      <c r="BT238" s="179"/>
      <c r="BU238" s="179"/>
      <c r="BV238" s="179"/>
      <c r="BW238" s="179"/>
      <c r="BX238" s="179"/>
      <c r="BY238" s="179"/>
      <c r="BZ238" s="179"/>
      <c r="CA238" s="179"/>
      <c r="CB238" s="179"/>
      <c r="CC238" s="179"/>
      <c r="CD238" s="179"/>
      <c r="CE238" s="179"/>
      <c r="CF238" s="179"/>
      <c r="CG238" s="179"/>
      <c r="CH238" s="179"/>
      <c r="CI238" s="179"/>
      <c r="CJ238" s="179"/>
      <c r="CK238" s="179"/>
      <c r="CL238" s="179"/>
      <c r="CM238" s="179"/>
      <c r="CN238" s="179"/>
      <c r="CO238" s="179"/>
      <c r="CP238" s="179"/>
      <c r="CQ238" s="179"/>
      <c r="CR238" s="179"/>
      <c r="CS238" s="179"/>
      <c r="CT238" s="179"/>
      <c r="CU238" s="179"/>
      <c r="CV238" s="179"/>
      <c r="CW238" s="179"/>
      <c r="CX238" s="179"/>
      <c r="CY238" s="179"/>
      <c r="CZ238" s="179"/>
      <c r="DA238" s="179"/>
      <c r="DB238" s="179"/>
      <c r="DC238" s="179"/>
      <c r="DD238" s="179"/>
      <c r="DE238" s="179"/>
      <c r="DF238" s="179"/>
      <c r="DG238" s="179"/>
      <c r="DH238" s="179"/>
      <c r="DI238" s="179"/>
      <c r="DJ238" s="179"/>
      <c r="DK238" s="179"/>
      <c r="DL238" s="179"/>
      <c r="DM238" s="179"/>
      <c r="DN238" s="179"/>
      <c r="DO238" s="179"/>
      <c r="DP238" s="179"/>
      <c r="DQ238" s="179"/>
      <c r="DR238" s="179"/>
      <c r="DS238" s="179"/>
      <c r="DT238" s="179"/>
      <c r="DU238" s="179"/>
      <c r="DV238" s="179"/>
      <c r="DW238" s="179"/>
      <c r="DX238" s="179"/>
      <c r="DY238" s="179"/>
      <c r="DZ238" s="179"/>
      <c r="EA238" s="179"/>
      <c r="EB238" s="179"/>
      <c r="EC238" s="179"/>
      <c r="ED238" s="179"/>
      <c r="EE238" s="179"/>
      <c r="EF238" s="179"/>
      <c r="EG238" s="179"/>
      <c r="EH238" s="179"/>
      <c r="EI238" s="179"/>
      <c r="EJ238" s="179"/>
      <c r="EK238" s="179"/>
      <c r="EL238" s="179"/>
      <c r="EM238" s="179"/>
      <c r="EN238" s="179"/>
      <c r="EO238" s="179"/>
      <c r="EP238" s="179"/>
      <c r="EQ238" s="179"/>
      <c r="ER238" s="179"/>
      <c r="ES238" s="179"/>
      <c r="ET238" s="179"/>
      <c r="EU238" s="179"/>
      <c r="EV238" s="179"/>
      <c r="EW238" s="179"/>
      <c r="EX238" s="179"/>
      <c r="EY238" s="179"/>
      <c r="EZ238" s="179"/>
      <c r="FA238" s="179"/>
      <c r="FB238" s="179"/>
      <c r="FC238" s="179"/>
      <c r="FD238" s="179"/>
      <c r="FE238" s="179"/>
      <c r="FF238" s="179"/>
      <c r="FG238" s="179"/>
      <c r="FH238" s="179"/>
      <c r="FI238" s="179"/>
      <c r="FJ238" s="179"/>
      <c r="FK238" s="179"/>
      <c r="FL238" s="179"/>
      <c r="FM238" s="179"/>
      <c r="FN238" s="179"/>
      <c r="FO238" s="179"/>
      <c r="FP238" s="179"/>
      <c r="FQ238" s="179"/>
      <c r="FR238" s="179"/>
      <c r="FS238" s="179"/>
      <c r="FT238" s="179"/>
      <c r="FU238" s="179"/>
      <c r="FV238" s="179"/>
      <c r="FW238" s="179"/>
      <c r="FX238" s="179"/>
      <c r="FY238" s="179"/>
      <c r="FZ238" s="179"/>
      <c r="GA238" s="179"/>
      <c r="GB238" s="179"/>
      <c r="GC238" s="179"/>
      <c r="GD238" s="179"/>
      <c r="GE238" s="179"/>
      <c r="GF238" s="179"/>
      <c r="GG238" s="179"/>
      <c r="GH238" s="179"/>
      <c r="GI238" s="179"/>
      <c r="GJ238" s="179"/>
      <c r="GK238" s="179"/>
      <c r="GL238" s="179"/>
      <c r="GM238" s="179"/>
      <c r="GN238" s="179"/>
      <c r="GO238" s="179"/>
      <c r="GP238" s="179"/>
      <c r="GQ238" s="179"/>
      <c r="GR238" s="179"/>
      <c r="GS238" s="179"/>
      <c r="GT238" s="179"/>
      <c r="GU238" s="179"/>
      <c r="GV238" s="179"/>
      <c r="GW238" s="179"/>
      <c r="GX238" s="179"/>
      <c r="GY238" s="179"/>
      <c r="GZ238" s="179"/>
      <c r="HA238" s="179"/>
      <c r="HB238" s="179"/>
      <c r="HC238" s="179"/>
      <c r="HD238" s="179"/>
      <c r="HE238" s="179"/>
      <c r="HF238" s="179"/>
      <c r="HG238" s="179"/>
      <c r="HH238" s="179"/>
      <c r="HI238" s="179"/>
      <c r="HJ238" s="179"/>
      <c r="HK238" s="179"/>
      <c r="HL238" s="179"/>
      <c r="HM238" s="179"/>
      <c r="HN238" s="179"/>
      <c r="HO238" s="179"/>
      <c r="HP238" s="179"/>
      <c r="HQ238" s="179"/>
      <c r="HR238" s="179"/>
      <c r="HS238" s="179"/>
      <c r="HT238" s="179"/>
      <c r="HU238" s="179"/>
      <c r="HV238" s="179"/>
      <c r="HW238" s="179"/>
      <c r="HX238" s="179"/>
      <c r="HY238" s="179"/>
      <c r="HZ238" s="179"/>
      <c r="IA238" s="179"/>
      <c r="IB238" s="179"/>
      <c r="IC238" s="179"/>
      <c r="ID238" s="179"/>
      <c r="IE238" s="179"/>
      <c r="IF238" s="179"/>
      <c r="IG238" s="179"/>
      <c r="IH238" s="179"/>
      <c r="II238" s="179"/>
      <c r="IJ238" s="179"/>
      <c r="IK238" s="179"/>
      <c r="IL238" s="179"/>
      <c r="IM238" s="179"/>
      <c r="IN238" s="179"/>
      <c r="IO238" s="179"/>
      <c r="IP238" s="179"/>
      <c r="IQ238" s="179"/>
      <c r="IR238" s="179"/>
    </row>
    <row r="239" spans="1:253">
      <c r="A239" s="325" t="s">
        <v>599</v>
      </c>
      <c r="B239" s="213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79"/>
      <c r="AT239" s="179"/>
      <c r="AU239" s="179"/>
      <c r="AV239" s="179"/>
      <c r="AW239" s="179"/>
      <c r="AX239" s="179"/>
      <c r="AY239" s="179"/>
      <c r="AZ239" s="179"/>
      <c r="BA239" s="179"/>
      <c r="BB239" s="179"/>
      <c r="BC239" s="179"/>
      <c r="BD239" s="179"/>
      <c r="BE239" s="179"/>
      <c r="BF239" s="179"/>
      <c r="BG239" s="179"/>
      <c r="BH239" s="179"/>
      <c r="BI239" s="179"/>
      <c r="BJ239" s="179"/>
      <c r="BK239" s="179"/>
      <c r="BL239" s="179"/>
      <c r="BM239" s="179"/>
      <c r="BN239" s="179"/>
      <c r="BO239" s="179"/>
      <c r="BP239" s="179"/>
      <c r="BQ239" s="179"/>
      <c r="BR239" s="179"/>
      <c r="BS239" s="179"/>
      <c r="BT239" s="179"/>
      <c r="BU239" s="179"/>
      <c r="BV239" s="179"/>
      <c r="BW239" s="179"/>
      <c r="BX239" s="179"/>
      <c r="BY239" s="179"/>
      <c r="BZ239" s="179"/>
      <c r="CA239" s="179"/>
      <c r="CB239" s="179"/>
      <c r="CC239" s="179"/>
      <c r="CD239" s="179"/>
      <c r="CE239" s="179"/>
      <c r="CF239" s="179"/>
      <c r="CG239" s="179"/>
      <c r="CH239" s="179"/>
      <c r="CI239" s="179"/>
      <c r="CJ239" s="179"/>
      <c r="CK239" s="179"/>
      <c r="CL239" s="179"/>
      <c r="CM239" s="179"/>
      <c r="CN239" s="179"/>
      <c r="CO239" s="179"/>
      <c r="CP239" s="179"/>
      <c r="CQ239" s="179"/>
      <c r="CR239" s="179"/>
      <c r="CS239" s="179"/>
      <c r="CT239" s="179"/>
      <c r="CU239" s="179"/>
      <c r="CV239" s="179"/>
      <c r="CW239" s="179"/>
      <c r="CX239" s="179"/>
      <c r="CY239" s="179"/>
      <c r="CZ239" s="179"/>
      <c r="DA239" s="179"/>
      <c r="DB239" s="179"/>
      <c r="DC239" s="179"/>
      <c r="DD239" s="179"/>
      <c r="DE239" s="179"/>
      <c r="DF239" s="179"/>
      <c r="DG239" s="179"/>
      <c r="DH239" s="179"/>
      <c r="DI239" s="179"/>
      <c r="DJ239" s="179"/>
      <c r="DK239" s="179"/>
      <c r="DL239" s="179"/>
      <c r="DM239" s="179"/>
      <c r="DN239" s="179"/>
      <c r="DO239" s="179"/>
      <c r="DP239" s="179"/>
      <c r="DQ239" s="179"/>
      <c r="DR239" s="179"/>
      <c r="DS239" s="179"/>
      <c r="DT239" s="179"/>
      <c r="DU239" s="179"/>
      <c r="DV239" s="179"/>
      <c r="DW239" s="179"/>
      <c r="DX239" s="179"/>
      <c r="DY239" s="179"/>
      <c r="DZ239" s="179"/>
      <c r="EA239" s="179"/>
      <c r="EB239" s="179"/>
      <c r="EC239" s="179"/>
      <c r="ED239" s="179"/>
      <c r="EE239" s="179"/>
      <c r="EF239" s="179"/>
      <c r="EG239" s="179"/>
      <c r="EH239" s="179"/>
      <c r="EI239" s="179"/>
      <c r="EJ239" s="179"/>
      <c r="EK239" s="179"/>
      <c r="EL239" s="179"/>
      <c r="EM239" s="179"/>
      <c r="EN239" s="179"/>
      <c r="EO239" s="179"/>
      <c r="EP239" s="179"/>
      <c r="EQ239" s="179"/>
      <c r="ER239" s="179"/>
      <c r="ES239" s="179"/>
      <c r="ET239" s="179"/>
      <c r="EU239" s="179"/>
      <c r="EV239" s="179"/>
      <c r="EW239" s="179"/>
      <c r="EX239" s="179"/>
      <c r="EY239" s="179"/>
      <c r="EZ239" s="179"/>
      <c r="FA239" s="179"/>
      <c r="FB239" s="179"/>
      <c r="FC239" s="179"/>
      <c r="FD239" s="179"/>
      <c r="FE239" s="179"/>
      <c r="FF239" s="179"/>
      <c r="FG239" s="179"/>
      <c r="FH239" s="179"/>
      <c r="FI239" s="179"/>
      <c r="FJ239" s="179"/>
      <c r="FK239" s="179"/>
      <c r="FL239" s="179"/>
      <c r="FM239" s="179"/>
      <c r="FN239" s="179"/>
      <c r="FO239" s="179"/>
      <c r="FP239" s="179"/>
      <c r="FQ239" s="179"/>
      <c r="FR239" s="179"/>
      <c r="FS239" s="179"/>
      <c r="FT239" s="179"/>
      <c r="FU239" s="179"/>
      <c r="FV239" s="179"/>
      <c r="FW239" s="179"/>
      <c r="FX239" s="179"/>
      <c r="FY239" s="179"/>
      <c r="FZ239" s="179"/>
      <c r="GA239" s="179"/>
      <c r="GB239" s="179"/>
      <c r="GC239" s="179"/>
      <c r="GD239" s="179"/>
      <c r="GE239" s="179"/>
      <c r="GF239" s="179"/>
      <c r="GG239" s="179"/>
      <c r="GH239" s="179"/>
      <c r="GI239" s="179"/>
      <c r="GJ239" s="179"/>
      <c r="GK239" s="179"/>
      <c r="GL239" s="179"/>
      <c r="GM239" s="179"/>
      <c r="GN239" s="179"/>
      <c r="GO239" s="179"/>
      <c r="GP239" s="179"/>
      <c r="GQ239" s="179"/>
      <c r="GR239" s="179"/>
      <c r="GS239" s="179"/>
      <c r="GT239" s="179"/>
      <c r="GU239" s="179"/>
      <c r="GV239" s="179"/>
      <c r="GW239" s="179"/>
      <c r="GX239" s="179"/>
      <c r="GY239" s="179"/>
      <c r="GZ239" s="179"/>
      <c r="HA239" s="179"/>
      <c r="HB239" s="179"/>
      <c r="HC239" s="179"/>
      <c r="HD239" s="179"/>
      <c r="HE239" s="179"/>
      <c r="HF239" s="179"/>
      <c r="HG239" s="179"/>
      <c r="HH239" s="179"/>
      <c r="HI239" s="179"/>
      <c r="HJ239" s="179"/>
      <c r="HK239" s="179"/>
      <c r="HL239" s="179"/>
      <c r="HM239" s="179"/>
      <c r="HN239" s="179"/>
      <c r="HO239" s="179"/>
      <c r="HP239" s="179"/>
      <c r="HQ239" s="179"/>
      <c r="HR239" s="179"/>
      <c r="HS239" s="179"/>
      <c r="HT239" s="179"/>
      <c r="HU239" s="179"/>
      <c r="HV239" s="179"/>
      <c r="HW239" s="179"/>
      <c r="HX239" s="179"/>
      <c r="HY239" s="179"/>
      <c r="HZ239" s="179"/>
      <c r="IA239" s="179"/>
      <c r="IB239" s="179"/>
      <c r="IC239" s="179"/>
      <c r="ID239" s="179"/>
      <c r="IE239" s="179"/>
      <c r="IF239" s="179"/>
      <c r="IG239" s="179"/>
      <c r="IH239" s="179"/>
      <c r="II239" s="179"/>
      <c r="IJ239" s="179"/>
      <c r="IK239" s="179"/>
      <c r="IL239" s="179"/>
      <c r="IM239" s="179"/>
      <c r="IN239" s="179"/>
      <c r="IO239" s="179"/>
      <c r="IP239" s="179"/>
      <c r="IQ239" s="179"/>
      <c r="IR239" s="179"/>
    </row>
    <row r="240" spans="1:253" s="466" customFormat="1">
      <c r="A240" s="325" t="s">
        <v>521</v>
      </c>
      <c r="B240" s="194">
        <f>959300/45797.5*B229*1.5</f>
        <v>79005.180959659367</v>
      </c>
      <c r="C240" s="465"/>
      <c r="D240" s="465"/>
      <c r="E240" s="465"/>
      <c r="F240" s="465"/>
      <c r="G240" s="465"/>
      <c r="H240" s="465"/>
      <c r="I240" s="465"/>
      <c r="J240" s="465"/>
      <c r="K240" s="465"/>
      <c r="L240" s="465"/>
      <c r="M240" s="465"/>
      <c r="N240" s="465"/>
      <c r="O240" s="465"/>
      <c r="P240" s="465"/>
      <c r="Q240" s="465"/>
      <c r="R240" s="465"/>
      <c r="S240" s="465"/>
      <c r="T240" s="465"/>
      <c r="U240" s="465"/>
      <c r="V240" s="465"/>
      <c r="W240" s="465"/>
      <c r="X240" s="465"/>
      <c r="Y240" s="465"/>
      <c r="Z240" s="465"/>
      <c r="AA240" s="465"/>
      <c r="AB240" s="465"/>
      <c r="AC240" s="465"/>
      <c r="AD240" s="465"/>
      <c r="AE240" s="465"/>
      <c r="AF240" s="465"/>
      <c r="AG240" s="465"/>
      <c r="AH240" s="465"/>
      <c r="AI240" s="465"/>
      <c r="AJ240" s="465"/>
      <c r="AK240" s="465"/>
      <c r="AL240" s="465"/>
      <c r="AM240" s="465"/>
      <c r="AN240" s="465"/>
      <c r="AO240" s="465"/>
      <c r="AP240" s="465"/>
      <c r="AQ240" s="465"/>
      <c r="AR240" s="465"/>
      <c r="AS240" s="465"/>
      <c r="AT240" s="465"/>
      <c r="AU240" s="465"/>
      <c r="AV240" s="465"/>
      <c r="AW240" s="465"/>
      <c r="AX240" s="465"/>
      <c r="AY240" s="465"/>
      <c r="AZ240" s="465"/>
      <c r="BA240" s="465"/>
      <c r="BB240" s="465"/>
      <c r="BC240" s="465"/>
      <c r="BD240" s="465"/>
      <c r="BE240" s="465"/>
      <c r="BF240" s="465"/>
      <c r="BG240" s="465"/>
      <c r="BH240" s="465"/>
      <c r="BI240" s="465"/>
      <c r="BJ240" s="465"/>
      <c r="BK240" s="465"/>
      <c r="BL240" s="465"/>
      <c r="BM240" s="465"/>
      <c r="BN240" s="465"/>
      <c r="BO240" s="465"/>
      <c r="BP240" s="465"/>
      <c r="BQ240" s="465"/>
      <c r="BR240" s="465"/>
      <c r="BS240" s="465"/>
      <c r="BT240" s="465"/>
      <c r="BU240" s="465"/>
      <c r="BV240" s="465"/>
      <c r="BW240" s="465"/>
      <c r="BX240" s="465"/>
      <c r="BY240" s="465"/>
      <c r="BZ240" s="465"/>
      <c r="CA240" s="465"/>
      <c r="CB240" s="465"/>
      <c r="CC240" s="465"/>
      <c r="CD240" s="465"/>
      <c r="CE240" s="465"/>
      <c r="CF240" s="465"/>
      <c r="CG240" s="465"/>
      <c r="CH240" s="465"/>
      <c r="CI240" s="465"/>
      <c r="CJ240" s="465"/>
      <c r="CK240" s="465"/>
      <c r="CL240" s="465"/>
      <c r="CM240" s="465"/>
      <c r="CN240" s="465"/>
      <c r="CO240" s="465"/>
      <c r="CP240" s="465"/>
      <c r="CQ240" s="465"/>
      <c r="CR240" s="465"/>
      <c r="CS240" s="465"/>
      <c r="CT240" s="465"/>
      <c r="CU240" s="465"/>
      <c r="CV240" s="465"/>
      <c r="CW240" s="465"/>
      <c r="CX240" s="465"/>
      <c r="CY240" s="465"/>
      <c r="CZ240" s="465"/>
      <c r="DA240" s="465"/>
      <c r="DB240" s="465"/>
      <c r="DC240" s="465"/>
      <c r="DD240" s="465"/>
      <c r="DE240" s="465"/>
      <c r="DF240" s="465"/>
      <c r="DG240" s="465"/>
      <c r="DH240" s="465"/>
      <c r="DI240" s="465"/>
      <c r="DJ240" s="465"/>
      <c r="DK240" s="465"/>
      <c r="DL240" s="465"/>
      <c r="DM240" s="465"/>
      <c r="DN240" s="465"/>
      <c r="DO240" s="465"/>
      <c r="DP240" s="465"/>
      <c r="DQ240" s="465"/>
      <c r="DR240" s="465"/>
      <c r="DS240" s="465"/>
      <c r="DT240" s="465"/>
      <c r="DU240" s="465"/>
      <c r="DV240" s="465"/>
      <c r="DW240" s="465"/>
      <c r="DX240" s="465"/>
      <c r="DY240" s="465"/>
      <c r="DZ240" s="465"/>
      <c r="EA240" s="465"/>
      <c r="EB240" s="465"/>
      <c r="EC240" s="465"/>
      <c r="ED240" s="465"/>
      <c r="EE240" s="465"/>
      <c r="EF240" s="465"/>
      <c r="EG240" s="465"/>
      <c r="EH240" s="465"/>
      <c r="EI240" s="465"/>
      <c r="EJ240" s="465"/>
      <c r="EK240" s="465"/>
      <c r="EL240" s="465"/>
      <c r="EM240" s="465"/>
      <c r="EN240" s="465"/>
      <c r="EO240" s="465"/>
      <c r="EP240" s="465"/>
      <c r="EQ240" s="465"/>
      <c r="ER240" s="465"/>
      <c r="ES240" s="465"/>
      <c r="ET240" s="465"/>
      <c r="EU240" s="465"/>
      <c r="EV240" s="465"/>
      <c r="EW240" s="465"/>
      <c r="EX240" s="465"/>
      <c r="EY240" s="465"/>
      <c r="EZ240" s="465"/>
      <c r="FA240" s="465"/>
      <c r="FB240" s="465"/>
      <c r="FC240" s="465"/>
      <c r="FD240" s="465"/>
      <c r="FE240" s="465"/>
      <c r="FF240" s="465"/>
      <c r="FG240" s="465"/>
      <c r="FH240" s="465"/>
      <c r="FI240" s="465"/>
      <c r="FJ240" s="465"/>
      <c r="FK240" s="465"/>
      <c r="FL240" s="465"/>
      <c r="FM240" s="465"/>
      <c r="FN240" s="465"/>
      <c r="FO240" s="465"/>
      <c r="FP240" s="465"/>
      <c r="FQ240" s="465"/>
      <c r="FR240" s="465"/>
      <c r="FS240" s="465"/>
      <c r="FT240" s="465"/>
      <c r="FU240" s="465"/>
      <c r="FV240" s="465"/>
      <c r="FW240" s="465"/>
      <c r="FX240" s="465"/>
      <c r="FY240" s="465"/>
      <c r="FZ240" s="465"/>
      <c r="GA240" s="465"/>
      <c r="GB240" s="465"/>
      <c r="GC240" s="465"/>
      <c r="GD240" s="465"/>
      <c r="GE240" s="465"/>
      <c r="GF240" s="465"/>
      <c r="GG240" s="465"/>
      <c r="GH240" s="465"/>
      <c r="GI240" s="465"/>
      <c r="GJ240" s="465"/>
      <c r="GK240" s="465"/>
      <c r="GL240" s="465"/>
      <c r="GM240" s="465"/>
      <c r="GN240" s="465"/>
      <c r="GO240" s="465"/>
      <c r="GP240" s="465"/>
      <c r="GQ240" s="465"/>
      <c r="GR240" s="465"/>
      <c r="GS240" s="465"/>
      <c r="GT240" s="465"/>
      <c r="GU240" s="465"/>
      <c r="GV240" s="465"/>
      <c r="GW240" s="465"/>
      <c r="GX240" s="465"/>
      <c r="GY240" s="465"/>
      <c r="GZ240" s="465"/>
      <c r="HA240" s="465"/>
      <c r="HB240" s="465"/>
      <c r="HC240" s="465"/>
      <c r="HD240" s="465"/>
      <c r="HE240" s="465"/>
      <c r="HF240" s="465"/>
      <c r="HG240" s="465"/>
      <c r="HH240" s="465"/>
      <c r="HI240" s="465"/>
      <c r="HJ240" s="465"/>
      <c r="HK240" s="465"/>
      <c r="HL240" s="465"/>
      <c r="HM240" s="465"/>
      <c r="HN240" s="465"/>
      <c r="HO240" s="465"/>
      <c r="HP240" s="465"/>
      <c r="HQ240" s="465"/>
      <c r="HR240" s="465"/>
      <c r="HS240" s="465"/>
      <c r="HT240" s="465"/>
      <c r="HU240" s="465"/>
      <c r="HV240" s="465"/>
      <c r="HW240" s="465"/>
      <c r="HX240" s="465"/>
      <c r="HY240" s="465"/>
      <c r="HZ240" s="465"/>
      <c r="IA240" s="465"/>
      <c r="IB240" s="465"/>
      <c r="IC240" s="465"/>
      <c r="ID240" s="465"/>
      <c r="IE240" s="465"/>
      <c r="IF240" s="465"/>
      <c r="IG240" s="465"/>
      <c r="IH240" s="465"/>
      <c r="II240" s="465"/>
      <c r="IJ240" s="465"/>
      <c r="IK240" s="465"/>
      <c r="IL240" s="465"/>
      <c r="IM240" s="465"/>
      <c r="IN240" s="465"/>
      <c r="IO240" s="465"/>
      <c r="IP240" s="465"/>
      <c r="IQ240" s="465"/>
      <c r="IR240" s="465"/>
    </row>
    <row r="241" spans="1:252" s="466" customFormat="1">
      <c r="A241" s="325" t="s">
        <v>987</v>
      </c>
      <c r="B241" s="194">
        <f>0.31*12*B229*1.5</f>
        <v>14030.909999999998</v>
      </c>
      <c r="C241" s="465"/>
      <c r="D241" s="465"/>
      <c r="E241" s="465"/>
      <c r="F241" s="465"/>
      <c r="G241" s="465"/>
      <c r="H241" s="465"/>
      <c r="I241" s="465"/>
      <c r="J241" s="465"/>
      <c r="K241" s="465"/>
      <c r="L241" s="465"/>
      <c r="M241" s="465"/>
      <c r="N241" s="465"/>
      <c r="O241" s="465"/>
      <c r="P241" s="465"/>
      <c r="Q241" s="465"/>
      <c r="R241" s="465"/>
      <c r="S241" s="465"/>
      <c r="T241" s="465"/>
      <c r="U241" s="465"/>
      <c r="V241" s="465"/>
      <c r="W241" s="465"/>
      <c r="X241" s="465"/>
      <c r="Y241" s="465"/>
      <c r="Z241" s="465"/>
      <c r="AA241" s="465"/>
      <c r="AB241" s="465"/>
      <c r="AC241" s="465"/>
      <c r="AD241" s="465"/>
      <c r="AE241" s="465"/>
      <c r="AF241" s="465"/>
      <c r="AG241" s="465"/>
      <c r="AH241" s="465"/>
      <c r="AI241" s="465"/>
      <c r="AJ241" s="465"/>
      <c r="AK241" s="465"/>
      <c r="AL241" s="465"/>
      <c r="AM241" s="465"/>
      <c r="AN241" s="465"/>
      <c r="AO241" s="465"/>
      <c r="AP241" s="465"/>
      <c r="AQ241" s="465"/>
      <c r="AR241" s="465"/>
      <c r="AS241" s="465"/>
      <c r="AT241" s="465"/>
      <c r="AU241" s="465"/>
      <c r="AV241" s="465"/>
      <c r="AW241" s="465"/>
      <c r="AX241" s="465"/>
      <c r="AY241" s="465"/>
      <c r="AZ241" s="465"/>
      <c r="BA241" s="465"/>
      <c r="BB241" s="465"/>
      <c r="BC241" s="465"/>
      <c r="BD241" s="465"/>
      <c r="BE241" s="465"/>
      <c r="BF241" s="465"/>
      <c r="BG241" s="465"/>
      <c r="BH241" s="465"/>
      <c r="BI241" s="465"/>
      <c r="BJ241" s="465"/>
      <c r="BK241" s="465"/>
      <c r="BL241" s="465"/>
      <c r="BM241" s="465"/>
      <c r="BN241" s="465"/>
      <c r="BO241" s="465"/>
      <c r="BP241" s="465"/>
      <c r="BQ241" s="465"/>
      <c r="BR241" s="465"/>
      <c r="BS241" s="465"/>
      <c r="BT241" s="465"/>
      <c r="BU241" s="465"/>
      <c r="BV241" s="465"/>
      <c r="BW241" s="465"/>
      <c r="BX241" s="465"/>
      <c r="BY241" s="465"/>
      <c r="BZ241" s="465"/>
      <c r="CA241" s="465"/>
      <c r="CB241" s="465"/>
      <c r="CC241" s="465"/>
      <c r="CD241" s="465"/>
      <c r="CE241" s="465"/>
      <c r="CF241" s="465"/>
      <c r="CG241" s="465"/>
      <c r="CH241" s="465"/>
      <c r="CI241" s="465"/>
      <c r="CJ241" s="465"/>
      <c r="CK241" s="465"/>
      <c r="CL241" s="465"/>
      <c r="CM241" s="465"/>
      <c r="CN241" s="465"/>
      <c r="CO241" s="465"/>
      <c r="CP241" s="465"/>
      <c r="CQ241" s="465"/>
      <c r="CR241" s="465"/>
      <c r="CS241" s="465"/>
      <c r="CT241" s="465"/>
      <c r="CU241" s="465"/>
      <c r="CV241" s="465"/>
      <c r="CW241" s="465"/>
      <c r="CX241" s="465"/>
      <c r="CY241" s="465"/>
      <c r="CZ241" s="465"/>
      <c r="DA241" s="465"/>
      <c r="DB241" s="465"/>
      <c r="DC241" s="465"/>
      <c r="DD241" s="465"/>
      <c r="DE241" s="465"/>
      <c r="DF241" s="465"/>
      <c r="DG241" s="465"/>
      <c r="DH241" s="465"/>
      <c r="DI241" s="465"/>
      <c r="DJ241" s="465"/>
      <c r="DK241" s="465"/>
      <c r="DL241" s="465"/>
      <c r="DM241" s="465"/>
      <c r="DN241" s="465"/>
      <c r="DO241" s="465"/>
      <c r="DP241" s="465"/>
      <c r="DQ241" s="465"/>
      <c r="DR241" s="465"/>
      <c r="DS241" s="465"/>
      <c r="DT241" s="465"/>
      <c r="DU241" s="465"/>
      <c r="DV241" s="465"/>
      <c r="DW241" s="465"/>
      <c r="DX241" s="465"/>
      <c r="DY241" s="465"/>
      <c r="DZ241" s="465"/>
      <c r="EA241" s="465"/>
      <c r="EB241" s="465"/>
      <c r="EC241" s="465"/>
      <c r="ED241" s="465"/>
      <c r="EE241" s="465"/>
      <c r="EF241" s="465"/>
      <c r="EG241" s="465"/>
      <c r="EH241" s="465"/>
      <c r="EI241" s="465"/>
      <c r="EJ241" s="465"/>
      <c r="EK241" s="465"/>
      <c r="EL241" s="465"/>
      <c r="EM241" s="465"/>
      <c r="EN241" s="465"/>
      <c r="EO241" s="465"/>
      <c r="EP241" s="465"/>
      <c r="EQ241" s="465"/>
      <c r="ER241" s="465"/>
      <c r="ES241" s="465"/>
      <c r="ET241" s="465"/>
      <c r="EU241" s="465"/>
      <c r="EV241" s="465"/>
      <c r="EW241" s="465"/>
      <c r="EX241" s="465"/>
      <c r="EY241" s="465"/>
      <c r="EZ241" s="465"/>
      <c r="FA241" s="465"/>
      <c r="FB241" s="465"/>
      <c r="FC241" s="465"/>
      <c r="FD241" s="465"/>
      <c r="FE241" s="465"/>
      <c r="FF241" s="465"/>
      <c r="FG241" s="465"/>
      <c r="FH241" s="465"/>
      <c r="FI241" s="465"/>
      <c r="FJ241" s="465"/>
      <c r="FK241" s="465"/>
      <c r="FL241" s="465"/>
      <c r="FM241" s="465"/>
      <c r="FN241" s="465"/>
      <c r="FO241" s="465"/>
      <c r="FP241" s="465"/>
      <c r="FQ241" s="465"/>
      <c r="FR241" s="465"/>
      <c r="FS241" s="465"/>
      <c r="FT241" s="465"/>
      <c r="FU241" s="465"/>
      <c r="FV241" s="465"/>
      <c r="FW241" s="465"/>
      <c r="FX241" s="465"/>
      <c r="FY241" s="465"/>
      <c r="FZ241" s="465"/>
      <c r="GA241" s="465"/>
      <c r="GB241" s="465"/>
      <c r="GC241" s="465"/>
      <c r="GD241" s="465"/>
      <c r="GE241" s="465"/>
      <c r="GF241" s="465"/>
      <c r="GG241" s="465"/>
      <c r="GH241" s="465"/>
      <c r="GI241" s="465"/>
      <c r="GJ241" s="465"/>
      <c r="GK241" s="465"/>
      <c r="GL241" s="465"/>
      <c r="GM241" s="465"/>
      <c r="GN241" s="465"/>
      <c r="GO241" s="465"/>
      <c r="GP241" s="465"/>
      <c r="GQ241" s="465"/>
      <c r="GR241" s="465"/>
      <c r="GS241" s="465"/>
      <c r="GT241" s="465"/>
      <c r="GU241" s="465"/>
      <c r="GV241" s="465"/>
      <c r="GW241" s="465"/>
      <c r="GX241" s="465"/>
      <c r="GY241" s="465"/>
      <c r="GZ241" s="465"/>
      <c r="HA241" s="465"/>
      <c r="HB241" s="465"/>
      <c r="HC241" s="465"/>
      <c r="HD241" s="465"/>
      <c r="HE241" s="465"/>
      <c r="HF241" s="465"/>
      <c r="HG241" s="465"/>
      <c r="HH241" s="465"/>
      <c r="HI241" s="465"/>
      <c r="HJ241" s="465"/>
      <c r="HK241" s="465"/>
      <c r="HL241" s="465"/>
      <c r="HM241" s="465"/>
      <c r="HN241" s="465"/>
      <c r="HO241" s="465"/>
      <c r="HP241" s="465"/>
      <c r="HQ241" s="465"/>
      <c r="HR241" s="465"/>
      <c r="HS241" s="465"/>
      <c r="HT241" s="465"/>
      <c r="HU241" s="465"/>
      <c r="HV241" s="465"/>
      <c r="HW241" s="465"/>
      <c r="HX241" s="465"/>
      <c r="HY241" s="465"/>
      <c r="HZ241" s="465"/>
      <c r="IA241" s="465"/>
      <c r="IB241" s="465"/>
      <c r="IC241" s="465"/>
      <c r="ID241" s="465"/>
      <c r="IE241" s="465"/>
      <c r="IF241" s="465"/>
      <c r="IG241" s="465"/>
      <c r="IH241" s="465"/>
      <c r="II241" s="465"/>
      <c r="IJ241" s="465"/>
      <c r="IK241" s="465"/>
      <c r="IL241" s="465"/>
      <c r="IM241" s="465"/>
      <c r="IN241" s="465"/>
      <c r="IO241" s="465"/>
      <c r="IP241" s="465"/>
      <c r="IQ241" s="465"/>
      <c r="IR241" s="465"/>
    </row>
    <row r="242" spans="1:252" s="466" customFormat="1">
      <c r="A242" s="325" t="s">
        <v>520</v>
      </c>
      <c r="B242" s="194">
        <f>0.89*12*B229*1.5</f>
        <v>40282.29</v>
      </c>
      <c r="C242" s="465"/>
      <c r="D242" s="465"/>
      <c r="E242" s="465"/>
      <c r="F242" s="465"/>
      <c r="G242" s="465"/>
      <c r="H242" s="465"/>
      <c r="I242" s="465"/>
      <c r="J242" s="465"/>
      <c r="K242" s="465"/>
      <c r="L242" s="465"/>
      <c r="M242" s="465"/>
      <c r="N242" s="465"/>
      <c r="O242" s="465"/>
      <c r="P242" s="465"/>
      <c r="Q242" s="465"/>
      <c r="R242" s="465"/>
      <c r="S242" s="465"/>
      <c r="T242" s="465"/>
      <c r="U242" s="465"/>
      <c r="V242" s="465"/>
      <c r="W242" s="465"/>
      <c r="X242" s="465"/>
      <c r="Y242" s="465"/>
      <c r="Z242" s="465"/>
      <c r="AA242" s="465"/>
      <c r="AB242" s="465"/>
      <c r="AC242" s="465"/>
      <c r="AD242" s="465"/>
      <c r="AE242" s="465"/>
      <c r="AF242" s="465"/>
      <c r="AG242" s="465"/>
      <c r="AH242" s="465"/>
      <c r="AI242" s="465"/>
      <c r="AJ242" s="465"/>
      <c r="AK242" s="465"/>
      <c r="AL242" s="465"/>
      <c r="AM242" s="465"/>
      <c r="AN242" s="465"/>
      <c r="AO242" s="465"/>
      <c r="AP242" s="465"/>
      <c r="AQ242" s="465"/>
      <c r="AR242" s="465"/>
      <c r="AS242" s="465"/>
      <c r="AT242" s="465"/>
      <c r="AU242" s="465"/>
      <c r="AV242" s="465"/>
      <c r="AW242" s="465"/>
      <c r="AX242" s="465"/>
      <c r="AY242" s="465"/>
      <c r="AZ242" s="465"/>
      <c r="BA242" s="465"/>
      <c r="BB242" s="465"/>
      <c r="BC242" s="465"/>
      <c r="BD242" s="465"/>
      <c r="BE242" s="465"/>
      <c r="BF242" s="465"/>
      <c r="BG242" s="465"/>
      <c r="BH242" s="465"/>
      <c r="BI242" s="465"/>
      <c r="BJ242" s="465"/>
      <c r="BK242" s="465"/>
      <c r="BL242" s="465"/>
      <c r="BM242" s="465"/>
      <c r="BN242" s="465"/>
      <c r="BO242" s="465"/>
      <c r="BP242" s="465"/>
      <c r="BQ242" s="465"/>
      <c r="BR242" s="465"/>
      <c r="BS242" s="465"/>
      <c r="BT242" s="465"/>
      <c r="BU242" s="465"/>
      <c r="BV242" s="465"/>
      <c r="BW242" s="465"/>
      <c r="BX242" s="465"/>
      <c r="BY242" s="465"/>
      <c r="BZ242" s="465"/>
      <c r="CA242" s="465"/>
      <c r="CB242" s="465"/>
      <c r="CC242" s="465"/>
      <c r="CD242" s="465"/>
      <c r="CE242" s="465"/>
      <c r="CF242" s="465"/>
      <c r="CG242" s="465"/>
      <c r="CH242" s="465"/>
      <c r="CI242" s="465"/>
      <c r="CJ242" s="465"/>
      <c r="CK242" s="465"/>
      <c r="CL242" s="465"/>
      <c r="CM242" s="465"/>
      <c r="CN242" s="465"/>
      <c r="CO242" s="465"/>
      <c r="CP242" s="465"/>
      <c r="CQ242" s="465"/>
      <c r="CR242" s="465"/>
      <c r="CS242" s="465"/>
      <c r="CT242" s="465"/>
      <c r="CU242" s="465"/>
      <c r="CV242" s="465"/>
      <c r="CW242" s="465"/>
      <c r="CX242" s="465"/>
      <c r="CY242" s="465"/>
      <c r="CZ242" s="465"/>
      <c r="DA242" s="465"/>
      <c r="DB242" s="465"/>
      <c r="DC242" s="465"/>
      <c r="DD242" s="465"/>
      <c r="DE242" s="465"/>
      <c r="DF242" s="465"/>
      <c r="DG242" s="465"/>
      <c r="DH242" s="465"/>
      <c r="DI242" s="465"/>
      <c r="DJ242" s="465"/>
      <c r="DK242" s="465"/>
      <c r="DL242" s="465"/>
      <c r="DM242" s="465"/>
      <c r="DN242" s="465"/>
      <c r="DO242" s="465"/>
      <c r="DP242" s="465"/>
      <c r="DQ242" s="465"/>
      <c r="DR242" s="465"/>
      <c r="DS242" s="465"/>
      <c r="DT242" s="465"/>
      <c r="DU242" s="465"/>
      <c r="DV242" s="465"/>
      <c r="DW242" s="465"/>
      <c r="DX242" s="465"/>
      <c r="DY242" s="465"/>
      <c r="DZ242" s="465"/>
      <c r="EA242" s="465"/>
      <c r="EB242" s="465"/>
      <c r="EC242" s="465"/>
      <c r="ED242" s="465"/>
      <c r="EE242" s="465"/>
      <c r="EF242" s="465"/>
      <c r="EG242" s="465"/>
      <c r="EH242" s="465"/>
      <c r="EI242" s="465"/>
      <c r="EJ242" s="465"/>
      <c r="EK242" s="465"/>
      <c r="EL242" s="465"/>
      <c r="EM242" s="465"/>
      <c r="EN242" s="465"/>
      <c r="EO242" s="465"/>
      <c r="EP242" s="465"/>
      <c r="EQ242" s="465"/>
      <c r="ER242" s="465"/>
      <c r="ES242" s="465"/>
      <c r="ET242" s="465"/>
      <c r="EU242" s="465"/>
      <c r="EV242" s="465"/>
      <c r="EW242" s="465"/>
      <c r="EX242" s="465"/>
      <c r="EY242" s="465"/>
      <c r="EZ242" s="465"/>
      <c r="FA242" s="465"/>
      <c r="FB242" s="465"/>
      <c r="FC242" s="465"/>
      <c r="FD242" s="465"/>
      <c r="FE242" s="465"/>
      <c r="FF242" s="465"/>
      <c r="FG242" s="465"/>
      <c r="FH242" s="465"/>
      <c r="FI242" s="465"/>
      <c r="FJ242" s="465"/>
      <c r="FK242" s="465"/>
      <c r="FL242" s="465"/>
      <c r="FM242" s="465"/>
      <c r="FN242" s="465"/>
      <c r="FO242" s="465"/>
      <c r="FP242" s="465"/>
      <c r="FQ242" s="465"/>
      <c r="FR242" s="465"/>
      <c r="FS242" s="465"/>
      <c r="FT242" s="465"/>
      <c r="FU242" s="465"/>
      <c r="FV242" s="465"/>
      <c r="FW242" s="465"/>
      <c r="FX242" s="465"/>
      <c r="FY242" s="465"/>
      <c r="FZ242" s="465"/>
      <c r="GA242" s="465"/>
      <c r="GB242" s="465"/>
      <c r="GC242" s="465"/>
      <c r="GD242" s="465"/>
      <c r="GE242" s="465"/>
      <c r="GF242" s="465"/>
      <c r="GG242" s="465"/>
      <c r="GH242" s="465"/>
      <c r="GI242" s="465"/>
      <c r="GJ242" s="465"/>
      <c r="GK242" s="465"/>
      <c r="GL242" s="465"/>
      <c r="GM242" s="465"/>
      <c r="GN242" s="465"/>
      <c r="GO242" s="465"/>
      <c r="GP242" s="465"/>
      <c r="GQ242" s="465"/>
      <c r="GR242" s="465"/>
      <c r="GS242" s="465"/>
      <c r="GT242" s="465"/>
      <c r="GU242" s="465"/>
      <c r="GV242" s="465"/>
      <c r="GW242" s="465"/>
      <c r="GX242" s="465"/>
      <c r="GY242" s="465"/>
      <c r="GZ242" s="465"/>
      <c r="HA242" s="465"/>
      <c r="HB242" s="465"/>
      <c r="HC242" s="465"/>
      <c r="HD242" s="465"/>
      <c r="HE242" s="465"/>
      <c r="HF242" s="465"/>
      <c r="HG242" s="465"/>
      <c r="HH242" s="465"/>
      <c r="HI242" s="465"/>
      <c r="HJ242" s="465"/>
      <c r="HK242" s="465"/>
      <c r="HL242" s="465"/>
      <c r="HM242" s="465"/>
      <c r="HN242" s="465"/>
      <c r="HO242" s="465"/>
      <c r="HP242" s="465"/>
      <c r="HQ242" s="465"/>
      <c r="HR242" s="465"/>
      <c r="HS242" s="465"/>
      <c r="HT242" s="465"/>
      <c r="HU242" s="465"/>
      <c r="HV242" s="465"/>
      <c r="HW242" s="465"/>
      <c r="HX242" s="465"/>
      <c r="HY242" s="465"/>
      <c r="HZ242" s="465"/>
      <c r="IA242" s="465"/>
      <c r="IB242" s="465"/>
      <c r="IC242" s="465"/>
      <c r="ID242" s="465"/>
      <c r="IE242" s="465"/>
      <c r="IF242" s="465"/>
      <c r="IG242" s="465"/>
      <c r="IH242" s="465"/>
      <c r="II242" s="465"/>
      <c r="IJ242" s="465"/>
      <c r="IK242" s="465"/>
      <c r="IL242" s="465"/>
      <c r="IM242" s="465"/>
      <c r="IN242" s="465"/>
      <c r="IO242" s="465"/>
      <c r="IP242" s="465"/>
      <c r="IQ242" s="465"/>
      <c r="IR242" s="465"/>
    </row>
    <row r="243" spans="1:252">
      <c r="A243" s="325" t="s">
        <v>2027</v>
      </c>
      <c r="B243" s="194">
        <f>9915*1.5</f>
        <v>14872.5</v>
      </c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79"/>
      <c r="BD243" s="179"/>
      <c r="BE243" s="179"/>
      <c r="BF243" s="179"/>
      <c r="BG243" s="179"/>
      <c r="BH243" s="179"/>
      <c r="BI243" s="179"/>
      <c r="BJ243" s="179"/>
      <c r="BK243" s="179"/>
      <c r="BL243" s="179"/>
      <c r="BM243" s="179"/>
      <c r="BN243" s="179"/>
      <c r="BO243" s="179"/>
      <c r="BP243" s="179"/>
      <c r="BQ243" s="179"/>
      <c r="BR243" s="179"/>
      <c r="BS243" s="179"/>
      <c r="BT243" s="179"/>
      <c r="BU243" s="179"/>
      <c r="BV243" s="179"/>
      <c r="BW243" s="179"/>
      <c r="BX243" s="179"/>
      <c r="BY243" s="179"/>
      <c r="BZ243" s="179"/>
      <c r="CA243" s="179"/>
      <c r="CB243" s="179"/>
      <c r="CC243" s="179"/>
      <c r="CD243" s="179"/>
      <c r="CE243" s="179"/>
      <c r="CF243" s="179"/>
      <c r="CG243" s="179"/>
      <c r="CH243" s="179"/>
      <c r="CI243" s="179"/>
      <c r="CJ243" s="179"/>
      <c r="CK243" s="179"/>
      <c r="CL243" s="179"/>
      <c r="CM243" s="179"/>
      <c r="CN243" s="179"/>
      <c r="CO243" s="179"/>
      <c r="CP243" s="179"/>
      <c r="CQ243" s="179"/>
      <c r="CR243" s="179"/>
      <c r="CS243" s="179"/>
      <c r="CT243" s="179"/>
      <c r="CU243" s="179"/>
      <c r="CV243" s="179"/>
      <c r="CW243" s="179"/>
      <c r="CX243" s="179"/>
      <c r="CY243" s="179"/>
      <c r="CZ243" s="179"/>
      <c r="DA243" s="179"/>
      <c r="DB243" s="179"/>
      <c r="DC243" s="179"/>
      <c r="DD243" s="179"/>
      <c r="DE243" s="179"/>
      <c r="DF243" s="179"/>
      <c r="DG243" s="179"/>
      <c r="DH243" s="179"/>
      <c r="DI243" s="179"/>
      <c r="DJ243" s="179"/>
      <c r="DK243" s="179"/>
      <c r="DL243" s="179"/>
      <c r="DM243" s="179"/>
      <c r="DN243" s="179"/>
      <c r="DO243" s="179"/>
      <c r="DP243" s="179"/>
      <c r="DQ243" s="179"/>
      <c r="DR243" s="179"/>
      <c r="DS243" s="179"/>
      <c r="DT243" s="179"/>
      <c r="DU243" s="179"/>
      <c r="DV243" s="179"/>
      <c r="DW243" s="179"/>
      <c r="DX243" s="179"/>
      <c r="DY243" s="179"/>
      <c r="DZ243" s="179"/>
      <c r="EA243" s="179"/>
      <c r="EB243" s="179"/>
      <c r="EC243" s="179"/>
      <c r="ED243" s="179"/>
      <c r="EE243" s="179"/>
      <c r="EF243" s="179"/>
      <c r="EG243" s="179"/>
      <c r="EH243" s="179"/>
      <c r="EI243" s="179"/>
      <c r="EJ243" s="179"/>
      <c r="EK243" s="179"/>
      <c r="EL243" s="179"/>
      <c r="EM243" s="179"/>
      <c r="EN243" s="179"/>
      <c r="EO243" s="179"/>
      <c r="EP243" s="179"/>
      <c r="EQ243" s="179"/>
      <c r="ER243" s="179"/>
      <c r="ES243" s="179"/>
      <c r="ET243" s="179"/>
      <c r="EU243" s="179"/>
      <c r="EV243" s="179"/>
      <c r="EW243" s="179"/>
      <c r="EX243" s="179"/>
      <c r="EY243" s="179"/>
      <c r="EZ243" s="179"/>
      <c r="FA243" s="179"/>
      <c r="FB243" s="179"/>
      <c r="FC243" s="179"/>
      <c r="FD243" s="179"/>
      <c r="FE243" s="179"/>
      <c r="FF243" s="179"/>
      <c r="FG243" s="179"/>
      <c r="FH243" s="179"/>
      <c r="FI243" s="179"/>
      <c r="FJ243" s="179"/>
      <c r="FK243" s="179"/>
      <c r="FL243" s="179"/>
      <c r="FM243" s="179"/>
      <c r="FN243" s="179"/>
      <c r="FO243" s="179"/>
      <c r="FP243" s="179"/>
      <c r="FQ243" s="179"/>
      <c r="FR243" s="179"/>
      <c r="FS243" s="179"/>
      <c r="FT243" s="179"/>
      <c r="FU243" s="179"/>
      <c r="FV243" s="179"/>
      <c r="FW243" s="179"/>
      <c r="FX243" s="179"/>
      <c r="FY243" s="179"/>
      <c r="FZ243" s="179"/>
      <c r="GA243" s="179"/>
      <c r="GB243" s="179"/>
      <c r="GC243" s="179"/>
      <c r="GD243" s="179"/>
      <c r="GE243" s="179"/>
      <c r="GF243" s="179"/>
      <c r="GG243" s="179"/>
      <c r="GH243" s="179"/>
      <c r="GI243" s="179"/>
      <c r="GJ243" s="179"/>
      <c r="GK243" s="179"/>
      <c r="GL243" s="179"/>
      <c r="GM243" s="179"/>
      <c r="GN243" s="179"/>
      <c r="GO243" s="179"/>
      <c r="GP243" s="179"/>
      <c r="GQ243" s="179"/>
      <c r="GR243" s="179"/>
      <c r="GS243" s="179"/>
      <c r="GT243" s="179"/>
      <c r="GU243" s="179"/>
      <c r="GV243" s="179"/>
      <c r="GW243" s="179"/>
      <c r="GX243" s="179"/>
      <c r="GY243" s="179"/>
      <c r="GZ243" s="179"/>
      <c r="HA243" s="179"/>
      <c r="HB243" s="179"/>
      <c r="HC243" s="179"/>
      <c r="HD243" s="179"/>
      <c r="HE243" s="179"/>
      <c r="HF243" s="179"/>
      <c r="HG243" s="179"/>
      <c r="HH243" s="179"/>
      <c r="HI243" s="179"/>
      <c r="HJ243" s="179"/>
      <c r="HK243" s="179"/>
      <c r="HL243" s="179"/>
      <c r="HM243" s="179"/>
      <c r="HN243" s="179"/>
      <c r="HO243" s="179"/>
      <c r="HP243" s="179"/>
      <c r="HQ243" s="179"/>
      <c r="HR243" s="179"/>
      <c r="HS243" s="179"/>
      <c r="HT243" s="179"/>
      <c r="HU243" s="179"/>
      <c r="HV243" s="179"/>
      <c r="HW243" s="179"/>
      <c r="HX243" s="179"/>
      <c r="HY243" s="179"/>
      <c r="HZ243" s="179"/>
      <c r="IA243" s="179"/>
      <c r="IB243" s="179"/>
      <c r="IC243" s="179"/>
      <c r="ID243" s="179"/>
      <c r="IE243" s="179"/>
      <c r="IF243" s="179"/>
      <c r="IG243" s="179"/>
      <c r="IH243" s="179"/>
      <c r="II243" s="179"/>
      <c r="IJ243" s="179"/>
      <c r="IK243" s="179"/>
      <c r="IL243" s="179"/>
      <c r="IM243" s="179"/>
      <c r="IN243" s="179"/>
      <c r="IO243" s="179"/>
      <c r="IP243" s="179"/>
      <c r="IQ243" s="179"/>
      <c r="IR243" s="179"/>
    </row>
    <row r="244" spans="1:252" s="466" customFormat="1">
      <c r="A244" s="325" t="s">
        <v>601</v>
      </c>
      <c r="B244" s="194">
        <f>0.9*9100*13*1.302*1.5</f>
        <v>207935.91</v>
      </c>
      <c r="C244" s="465"/>
      <c r="D244" s="465"/>
      <c r="E244" s="465"/>
      <c r="F244" s="465"/>
      <c r="G244" s="465"/>
      <c r="H244" s="465"/>
      <c r="I244" s="465"/>
      <c r="J244" s="465"/>
      <c r="K244" s="465"/>
      <c r="L244" s="465"/>
      <c r="M244" s="465"/>
      <c r="N244" s="465"/>
      <c r="O244" s="465"/>
      <c r="P244" s="465"/>
      <c r="Q244" s="465"/>
      <c r="R244" s="465"/>
      <c r="S244" s="465"/>
      <c r="T244" s="465"/>
      <c r="U244" s="465"/>
      <c r="V244" s="465"/>
      <c r="W244" s="465"/>
      <c r="X244" s="465"/>
      <c r="Y244" s="465"/>
      <c r="Z244" s="465"/>
      <c r="AA244" s="465"/>
      <c r="AB244" s="465"/>
      <c r="AC244" s="465"/>
      <c r="AD244" s="465"/>
      <c r="AE244" s="465"/>
      <c r="AF244" s="465"/>
      <c r="AG244" s="465"/>
      <c r="AH244" s="465"/>
      <c r="AI244" s="465"/>
      <c r="AJ244" s="465"/>
      <c r="AK244" s="465"/>
      <c r="AL244" s="465"/>
      <c r="AM244" s="465"/>
      <c r="AN244" s="465"/>
      <c r="AO244" s="465"/>
      <c r="AP244" s="465"/>
      <c r="AQ244" s="465"/>
      <c r="AR244" s="465"/>
      <c r="AS244" s="465"/>
      <c r="AT244" s="465"/>
      <c r="AU244" s="465"/>
      <c r="AV244" s="465"/>
      <c r="AW244" s="465"/>
      <c r="AX244" s="465"/>
      <c r="AY244" s="465"/>
      <c r="AZ244" s="465"/>
      <c r="BA244" s="465"/>
      <c r="BB244" s="465"/>
      <c r="BC244" s="465"/>
      <c r="BD244" s="465"/>
      <c r="BE244" s="465"/>
      <c r="BF244" s="465"/>
      <c r="BG244" s="465"/>
      <c r="BH244" s="465"/>
      <c r="BI244" s="465"/>
      <c r="BJ244" s="465"/>
      <c r="BK244" s="465"/>
      <c r="BL244" s="465"/>
      <c r="BM244" s="465"/>
      <c r="BN244" s="465"/>
      <c r="BO244" s="465"/>
      <c r="BP244" s="465"/>
      <c r="BQ244" s="465"/>
      <c r="BR244" s="465"/>
      <c r="BS244" s="465"/>
      <c r="BT244" s="465"/>
      <c r="BU244" s="465"/>
      <c r="BV244" s="465"/>
      <c r="BW244" s="465"/>
      <c r="BX244" s="465"/>
      <c r="BY244" s="465"/>
      <c r="BZ244" s="465"/>
      <c r="CA244" s="465"/>
      <c r="CB244" s="465"/>
      <c r="CC244" s="465"/>
      <c r="CD244" s="465"/>
      <c r="CE244" s="465"/>
      <c r="CF244" s="465"/>
      <c r="CG244" s="465"/>
      <c r="CH244" s="465"/>
      <c r="CI244" s="465"/>
      <c r="CJ244" s="465"/>
      <c r="CK244" s="465"/>
      <c r="CL244" s="465"/>
      <c r="CM244" s="465"/>
      <c r="CN244" s="465"/>
      <c r="CO244" s="465"/>
      <c r="CP244" s="465"/>
      <c r="CQ244" s="465"/>
      <c r="CR244" s="465"/>
      <c r="CS244" s="465"/>
      <c r="CT244" s="465"/>
      <c r="CU244" s="465"/>
      <c r="CV244" s="465"/>
      <c r="CW244" s="465"/>
      <c r="CX244" s="465"/>
      <c r="CY244" s="465"/>
      <c r="CZ244" s="465"/>
      <c r="DA244" s="465"/>
      <c r="DB244" s="465"/>
      <c r="DC244" s="465"/>
      <c r="DD244" s="465"/>
      <c r="DE244" s="465"/>
      <c r="DF244" s="465"/>
      <c r="DG244" s="465"/>
      <c r="DH244" s="465"/>
      <c r="DI244" s="465"/>
      <c r="DJ244" s="465"/>
      <c r="DK244" s="465"/>
      <c r="DL244" s="465"/>
      <c r="DM244" s="465"/>
      <c r="DN244" s="465"/>
      <c r="DO244" s="465"/>
      <c r="DP244" s="465"/>
      <c r="DQ244" s="465"/>
      <c r="DR244" s="465"/>
      <c r="DS244" s="465"/>
      <c r="DT244" s="465"/>
      <c r="DU244" s="465"/>
      <c r="DV244" s="465"/>
      <c r="DW244" s="465"/>
      <c r="DX244" s="465"/>
      <c r="DY244" s="465"/>
      <c r="DZ244" s="465"/>
      <c r="EA244" s="465"/>
      <c r="EB244" s="465"/>
      <c r="EC244" s="465"/>
      <c r="ED244" s="465"/>
      <c r="EE244" s="465"/>
      <c r="EF244" s="465"/>
      <c r="EG244" s="465"/>
      <c r="EH244" s="465"/>
      <c r="EI244" s="465"/>
      <c r="EJ244" s="465"/>
      <c r="EK244" s="465"/>
      <c r="EL244" s="465"/>
      <c r="EM244" s="465"/>
      <c r="EN244" s="465"/>
      <c r="EO244" s="465"/>
      <c r="EP244" s="465"/>
      <c r="EQ244" s="465"/>
      <c r="ER244" s="465"/>
      <c r="ES244" s="465"/>
      <c r="ET244" s="465"/>
      <c r="EU244" s="465"/>
      <c r="EV244" s="465"/>
      <c r="EW244" s="465"/>
      <c r="EX244" s="465"/>
      <c r="EY244" s="465"/>
      <c r="EZ244" s="465"/>
      <c r="FA244" s="465"/>
      <c r="FB244" s="465"/>
      <c r="FC244" s="465"/>
      <c r="FD244" s="465"/>
      <c r="FE244" s="465"/>
      <c r="FF244" s="465"/>
      <c r="FG244" s="465"/>
      <c r="FH244" s="465"/>
      <c r="FI244" s="465"/>
      <c r="FJ244" s="465"/>
      <c r="FK244" s="465"/>
      <c r="FL244" s="465"/>
      <c r="FM244" s="465"/>
      <c r="FN244" s="465"/>
      <c r="FO244" s="465"/>
      <c r="FP244" s="465"/>
      <c r="FQ244" s="465"/>
      <c r="FR244" s="465"/>
      <c r="FS244" s="465"/>
      <c r="FT244" s="465"/>
      <c r="FU244" s="465"/>
      <c r="FV244" s="465"/>
      <c r="FW244" s="465"/>
      <c r="FX244" s="465"/>
      <c r="FY244" s="465"/>
      <c r="FZ244" s="465"/>
      <c r="GA244" s="465"/>
      <c r="GB244" s="465"/>
      <c r="GC244" s="465"/>
      <c r="GD244" s="465"/>
      <c r="GE244" s="465"/>
      <c r="GF244" s="465"/>
      <c r="GG244" s="465"/>
      <c r="GH244" s="465"/>
      <c r="GI244" s="465"/>
      <c r="GJ244" s="465"/>
      <c r="GK244" s="465"/>
      <c r="GL244" s="465"/>
      <c r="GM244" s="465"/>
      <c r="GN244" s="465"/>
      <c r="GO244" s="465"/>
      <c r="GP244" s="465"/>
      <c r="GQ244" s="465"/>
      <c r="GR244" s="465"/>
      <c r="GS244" s="465"/>
      <c r="GT244" s="465"/>
      <c r="GU244" s="465"/>
      <c r="GV244" s="465"/>
      <c r="GW244" s="465"/>
      <c r="GX244" s="465"/>
      <c r="GY244" s="465"/>
      <c r="GZ244" s="465"/>
      <c r="HA244" s="465"/>
      <c r="HB244" s="465"/>
      <c r="HC244" s="465"/>
      <c r="HD244" s="465"/>
      <c r="HE244" s="465"/>
      <c r="HF244" s="465"/>
      <c r="HG244" s="465"/>
      <c r="HH244" s="465"/>
      <c r="HI244" s="465"/>
      <c r="HJ244" s="465"/>
      <c r="HK244" s="465"/>
      <c r="HL244" s="465"/>
      <c r="HM244" s="465"/>
      <c r="HN244" s="465"/>
      <c r="HO244" s="465"/>
      <c r="HP244" s="465"/>
      <c r="HQ244" s="465"/>
      <c r="HR244" s="465"/>
      <c r="HS244" s="465"/>
      <c r="HT244" s="465"/>
      <c r="HU244" s="465"/>
      <c r="HV244" s="465"/>
      <c r="HW244" s="465"/>
      <c r="HX244" s="465"/>
      <c r="HY244" s="465"/>
      <c r="HZ244" s="465"/>
      <c r="IA244" s="465"/>
      <c r="IB244" s="465"/>
      <c r="IC244" s="465"/>
      <c r="ID244" s="465"/>
      <c r="IE244" s="465"/>
      <c r="IF244" s="465"/>
      <c r="IG244" s="465"/>
      <c r="IH244" s="465"/>
      <c r="II244" s="465"/>
      <c r="IJ244" s="465"/>
      <c r="IK244" s="465"/>
      <c r="IL244" s="465"/>
      <c r="IM244" s="465"/>
      <c r="IN244" s="465"/>
      <c r="IO244" s="465"/>
      <c r="IP244" s="465"/>
      <c r="IQ244" s="465"/>
      <c r="IR244" s="465"/>
    </row>
    <row r="245" spans="1:252">
      <c r="A245" s="325" t="s">
        <v>602</v>
      </c>
      <c r="B245" s="194">
        <f>B226</f>
        <v>440.4</v>
      </c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79"/>
      <c r="AZ245" s="179"/>
      <c r="BA245" s="179"/>
      <c r="BB245" s="179"/>
      <c r="BC245" s="179"/>
      <c r="BD245" s="179"/>
      <c r="BE245" s="179"/>
      <c r="BF245" s="179"/>
      <c r="BG245" s="179"/>
      <c r="BH245" s="179"/>
      <c r="BI245" s="179"/>
      <c r="BJ245" s="179"/>
      <c r="BK245" s="179"/>
      <c r="BL245" s="179"/>
      <c r="BM245" s="179"/>
      <c r="BN245" s="179"/>
      <c r="BO245" s="179"/>
      <c r="BP245" s="179"/>
      <c r="BQ245" s="179"/>
      <c r="BR245" s="179"/>
      <c r="BS245" s="179"/>
      <c r="BT245" s="179"/>
      <c r="BU245" s="179"/>
      <c r="BV245" s="179"/>
      <c r="BW245" s="179"/>
      <c r="BX245" s="179"/>
      <c r="BY245" s="179"/>
      <c r="BZ245" s="179"/>
      <c r="CA245" s="179"/>
      <c r="CB245" s="179"/>
      <c r="CC245" s="179"/>
      <c r="CD245" s="179"/>
      <c r="CE245" s="179"/>
      <c r="CF245" s="179"/>
      <c r="CG245" s="179"/>
      <c r="CH245" s="179"/>
      <c r="CI245" s="179"/>
      <c r="CJ245" s="179"/>
      <c r="CK245" s="179"/>
      <c r="CL245" s="179"/>
      <c r="CM245" s="179"/>
      <c r="CN245" s="179"/>
      <c r="CO245" s="179"/>
      <c r="CP245" s="179"/>
      <c r="CQ245" s="179"/>
      <c r="CR245" s="179"/>
      <c r="CS245" s="179"/>
      <c r="CT245" s="179"/>
      <c r="CU245" s="179"/>
      <c r="CV245" s="179"/>
      <c r="CW245" s="179"/>
      <c r="CX245" s="179"/>
      <c r="CY245" s="179"/>
      <c r="CZ245" s="179"/>
      <c r="DA245" s="179"/>
      <c r="DB245" s="179"/>
      <c r="DC245" s="179"/>
      <c r="DD245" s="179"/>
      <c r="DE245" s="179"/>
      <c r="DF245" s="179"/>
      <c r="DG245" s="179"/>
      <c r="DH245" s="179"/>
      <c r="DI245" s="179"/>
      <c r="DJ245" s="179"/>
      <c r="DK245" s="179"/>
      <c r="DL245" s="179"/>
      <c r="DM245" s="179"/>
      <c r="DN245" s="179"/>
      <c r="DO245" s="179"/>
      <c r="DP245" s="179"/>
      <c r="DQ245" s="179"/>
      <c r="DR245" s="179"/>
      <c r="DS245" s="179"/>
      <c r="DT245" s="179"/>
      <c r="DU245" s="179"/>
      <c r="DV245" s="179"/>
      <c r="DW245" s="179"/>
      <c r="DX245" s="179"/>
      <c r="DY245" s="179"/>
      <c r="DZ245" s="179"/>
      <c r="EA245" s="179"/>
      <c r="EB245" s="179"/>
      <c r="EC245" s="179"/>
      <c r="ED245" s="179"/>
      <c r="EE245" s="179"/>
      <c r="EF245" s="179"/>
      <c r="EG245" s="179"/>
      <c r="EH245" s="179"/>
      <c r="EI245" s="179"/>
      <c r="EJ245" s="179"/>
      <c r="EK245" s="179"/>
      <c r="EL245" s="179"/>
      <c r="EM245" s="179"/>
      <c r="EN245" s="179"/>
      <c r="EO245" s="179"/>
      <c r="EP245" s="179"/>
      <c r="EQ245" s="179"/>
      <c r="ER245" s="179"/>
      <c r="ES245" s="179"/>
      <c r="ET245" s="179"/>
      <c r="EU245" s="179"/>
      <c r="EV245" s="179"/>
      <c r="EW245" s="179"/>
      <c r="EX245" s="179"/>
      <c r="EY245" s="179"/>
      <c r="EZ245" s="179"/>
      <c r="FA245" s="179"/>
      <c r="FB245" s="179"/>
      <c r="FC245" s="179"/>
      <c r="FD245" s="179"/>
      <c r="FE245" s="179"/>
      <c r="FF245" s="179"/>
      <c r="FG245" s="179"/>
      <c r="FH245" s="179"/>
      <c r="FI245" s="179"/>
      <c r="FJ245" s="179"/>
      <c r="FK245" s="179"/>
      <c r="FL245" s="179"/>
      <c r="FM245" s="179"/>
      <c r="FN245" s="179"/>
      <c r="FO245" s="179"/>
      <c r="FP245" s="179"/>
      <c r="FQ245" s="179"/>
      <c r="FR245" s="179"/>
      <c r="FS245" s="179"/>
      <c r="FT245" s="179"/>
      <c r="FU245" s="179"/>
      <c r="FV245" s="179"/>
      <c r="FW245" s="179"/>
      <c r="FX245" s="179"/>
      <c r="FY245" s="179"/>
      <c r="FZ245" s="179"/>
      <c r="GA245" s="179"/>
      <c r="GB245" s="179"/>
      <c r="GC245" s="179"/>
      <c r="GD245" s="179"/>
      <c r="GE245" s="179"/>
      <c r="GF245" s="179"/>
      <c r="GG245" s="179"/>
      <c r="GH245" s="179"/>
      <c r="GI245" s="179"/>
      <c r="GJ245" s="179"/>
      <c r="GK245" s="179"/>
      <c r="GL245" s="179"/>
      <c r="GM245" s="179"/>
      <c r="GN245" s="179"/>
      <c r="GO245" s="179"/>
      <c r="GP245" s="179"/>
      <c r="GQ245" s="179"/>
      <c r="GR245" s="179"/>
      <c r="GS245" s="179"/>
      <c r="GT245" s="179"/>
      <c r="GU245" s="179"/>
      <c r="GV245" s="179"/>
      <c r="GW245" s="179"/>
      <c r="GX245" s="179"/>
      <c r="GY245" s="179"/>
      <c r="GZ245" s="179"/>
      <c r="HA245" s="179"/>
      <c r="HB245" s="179"/>
      <c r="HC245" s="179"/>
      <c r="HD245" s="179"/>
      <c r="HE245" s="179"/>
      <c r="HF245" s="179"/>
      <c r="HG245" s="179"/>
      <c r="HH245" s="179"/>
      <c r="HI245" s="179"/>
      <c r="HJ245" s="179"/>
      <c r="HK245" s="179"/>
      <c r="HL245" s="179"/>
      <c r="HM245" s="179"/>
      <c r="HN245" s="179"/>
      <c r="HO245" s="179"/>
      <c r="HP245" s="179"/>
      <c r="HQ245" s="179"/>
      <c r="HR245" s="179"/>
      <c r="HS245" s="179"/>
      <c r="HT245" s="179"/>
      <c r="HU245" s="179"/>
      <c r="HV245" s="179"/>
      <c r="HW245" s="179"/>
      <c r="HX245" s="179"/>
      <c r="HY245" s="179"/>
      <c r="HZ245" s="179"/>
      <c r="IA245" s="179"/>
      <c r="IB245" s="179"/>
      <c r="IC245" s="179"/>
      <c r="ID245" s="179"/>
      <c r="IE245" s="179"/>
      <c r="IF245" s="179"/>
      <c r="IG245" s="179"/>
      <c r="IH245" s="179"/>
      <c r="II245" s="179"/>
      <c r="IJ245" s="179"/>
      <c r="IK245" s="179"/>
      <c r="IL245" s="179"/>
      <c r="IM245" s="179"/>
      <c r="IN245" s="179"/>
      <c r="IO245" s="179"/>
      <c r="IP245" s="179"/>
      <c r="IQ245" s="179"/>
      <c r="IR245" s="179"/>
    </row>
    <row r="246" spans="1:252">
      <c r="A246" s="325" t="s">
        <v>603</v>
      </c>
      <c r="B246" s="194">
        <f>B245*130*1.302*1.5</f>
        <v>111813.15600000002</v>
      </c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79"/>
      <c r="AT246" s="179"/>
      <c r="AU246" s="179"/>
      <c r="AV246" s="179"/>
      <c r="AW246" s="179"/>
      <c r="AX246" s="179"/>
      <c r="AY246" s="179"/>
      <c r="AZ246" s="179"/>
      <c r="BA246" s="179"/>
      <c r="BB246" s="179"/>
      <c r="BC246" s="179"/>
      <c r="BD246" s="179"/>
      <c r="BE246" s="179"/>
      <c r="BF246" s="179"/>
      <c r="BG246" s="179"/>
      <c r="BH246" s="179"/>
      <c r="BI246" s="179"/>
      <c r="BJ246" s="179"/>
      <c r="BK246" s="179"/>
      <c r="BL246" s="179"/>
      <c r="BM246" s="179"/>
      <c r="BN246" s="179"/>
      <c r="BO246" s="179"/>
      <c r="BP246" s="179"/>
      <c r="BQ246" s="179"/>
      <c r="BR246" s="179"/>
      <c r="BS246" s="179"/>
      <c r="BT246" s="179"/>
      <c r="BU246" s="179"/>
      <c r="BV246" s="179"/>
      <c r="BW246" s="179"/>
      <c r="BX246" s="179"/>
      <c r="BY246" s="179"/>
      <c r="BZ246" s="179"/>
      <c r="CA246" s="179"/>
      <c r="CB246" s="179"/>
      <c r="CC246" s="179"/>
      <c r="CD246" s="179"/>
      <c r="CE246" s="179"/>
      <c r="CF246" s="179"/>
      <c r="CG246" s="179"/>
      <c r="CH246" s="179"/>
      <c r="CI246" s="179"/>
      <c r="CJ246" s="179"/>
      <c r="CK246" s="179"/>
      <c r="CL246" s="179"/>
      <c r="CM246" s="179"/>
      <c r="CN246" s="179"/>
      <c r="CO246" s="179"/>
      <c r="CP246" s="179"/>
      <c r="CQ246" s="179"/>
      <c r="CR246" s="179"/>
      <c r="CS246" s="179"/>
      <c r="CT246" s="179"/>
      <c r="CU246" s="179"/>
      <c r="CV246" s="179"/>
      <c r="CW246" s="179"/>
      <c r="CX246" s="179"/>
      <c r="CY246" s="179"/>
      <c r="CZ246" s="179"/>
      <c r="DA246" s="179"/>
      <c r="DB246" s="179"/>
      <c r="DC246" s="179"/>
      <c r="DD246" s="179"/>
      <c r="DE246" s="179"/>
      <c r="DF246" s="179"/>
      <c r="DG246" s="179"/>
      <c r="DH246" s="179"/>
      <c r="DI246" s="179"/>
      <c r="DJ246" s="179"/>
      <c r="DK246" s="179"/>
      <c r="DL246" s="179"/>
      <c r="DM246" s="179"/>
      <c r="DN246" s="179"/>
      <c r="DO246" s="179"/>
      <c r="DP246" s="179"/>
      <c r="DQ246" s="179"/>
      <c r="DR246" s="179"/>
      <c r="DS246" s="179"/>
      <c r="DT246" s="179"/>
      <c r="DU246" s="179"/>
      <c r="DV246" s="179"/>
      <c r="DW246" s="179"/>
      <c r="DX246" s="179"/>
      <c r="DY246" s="179"/>
      <c r="DZ246" s="179"/>
      <c r="EA246" s="179"/>
      <c r="EB246" s="179"/>
      <c r="EC246" s="179"/>
      <c r="ED246" s="179"/>
      <c r="EE246" s="179"/>
      <c r="EF246" s="179"/>
      <c r="EG246" s="179"/>
      <c r="EH246" s="179"/>
      <c r="EI246" s="179"/>
      <c r="EJ246" s="179"/>
      <c r="EK246" s="179"/>
      <c r="EL246" s="179"/>
      <c r="EM246" s="179"/>
      <c r="EN246" s="179"/>
      <c r="EO246" s="179"/>
      <c r="EP246" s="179"/>
      <c r="EQ246" s="179"/>
      <c r="ER246" s="179"/>
      <c r="ES246" s="179"/>
      <c r="ET246" s="179"/>
      <c r="EU246" s="179"/>
      <c r="EV246" s="179"/>
      <c r="EW246" s="179"/>
      <c r="EX246" s="179"/>
      <c r="EY246" s="179"/>
      <c r="EZ246" s="179"/>
      <c r="FA246" s="179"/>
      <c r="FB246" s="179"/>
      <c r="FC246" s="179"/>
      <c r="FD246" s="179"/>
      <c r="FE246" s="179"/>
      <c r="FF246" s="179"/>
      <c r="FG246" s="179"/>
      <c r="FH246" s="179"/>
      <c r="FI246" s="179"/>
      <c r="FJ246" s="179"/>
      <c r="FK246" s="179"/>
      <c r="FL246" s="179"/>
      <c r="FM246" s="179"/>
      <c r="FN246" s="179"/>
      <c r="FO246" s="179"/>
      <c r="FP246" s="179"/>
      <c r="FQ246" s="179"/>
      <c r="FR246" s="179"/>
      <c r="FS246" s="179"/>
      <c r="FT246" s="179"/>
      <c r="FU246" s="179"/>
      <c r="FV246" s="179"/>
      <c r="FW246" s="179"/>
      <c r="FX246" s="179"/>
      <c r="FY246" s="179"/>
      <c r="FZ246" s="179"/>
      <c r="GA246" s="179"/>
      <c r="GB246" s="179"/>
      <c r="GC246" s="179"/>
      <c r="GD246" s="179"/>
      <c r="GE246" s="179"/>
      <c r="GF246" s="179"/>
      <c r="GG246" s="179"/>
      <c r="GH246" s="179"/>
      <c r="GI246" s="179"/>
      <c r="GJ246" s="179"/>
      <c r="GK246" s="179"/>
      <c r="GL246" s="179"/>
      <c r="GM246" s="179"/>
      <c r="GN246" s="179"/>
      <c r="GO246" s="179"/>
      <c r="GP246" s="179"/>
      <c r="GQ246" s="179"/>
      <c r="GR246" s="179"/>
      <c r="GS246" s="179"/>
      <c r="GT246" s="179"/>
      <c r="GU246" s="179"/>
      <c r="GV246" s="179"/>
      <c r="GW246" s="179"/>
      <c r="GX246" s="179"/>
      <c r="GY246" s="179"/>
      <c r="GZ246" s="179"/>
      <c r="HA246" s="179"/>
      <c r="HB246" s="179"/>
      <c r="HC246" s="179"/>
      <c r="HD246" s="179"/>
      <c r="HE246" s="179"/>
      <c r="HF246" s="179"/>
      <c r="HG246" s="179"/>
      <c r="HH246" s="179"/>
      <c r="HI246" s="179"/>
      <c r="HJ246" s="179"/>
      <c r="HK246" s="179"/>
      <c r="HL246" s="179"/>
      <c r="HM246" s="179"/>
      <c r="HN246" s="179"/>
      <c r="HO246" s="179"/>
      <c r="HP246" s="179"/>
      <c r="HQ246" s="179"/>
      <c r="HR246" s="179"/>
      <c r="HS246" s="179"/>
      <c r="HT246" s="179"/>
      <c r="HU246" s="179"/>
      <c r="HV246" s="179"/>
      <c r="HW246" s="179"/>
      <c r="HX246" s="179"/>
      <c r="HY246" s="179"/>
      <c r="HZ246" s="179"/>
      <c r="IA246" s="179"/>
      <c r="IB246" s="179"/>
      <c r="IC246" s="179"/>
      <c r="ID246" s="179"/>
      <c r="IE246" s="179"/>
      <c r="IF246" s="179"/>
      <c r="IG246" s="179"/>
      <c r="IH246" s="179"/>
      <c r="II246" s="179"/>
      <c r="IJ246" s="179"/>
      <c r="IK246" s="179"/>
      <c r="IL246" s="179"/>
      <c r="IM246" s="179"/>
      <c r="IN246" s="179"/>
      <c r="IO246" s="179"/>
      <c r="IP246" s="179"/>
      <c r="IQ246" s="179"/>
      <c r="IR246" s="179"/>
    </row>
    <row r="247" spans="1:252">
      <c r="A247" s="325" t="s">
        <v>1603</v>
      </c>
      <c r="B247" s="194">
        <f>B233*1.5</f>
        <v>21098.22</v>
      </c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79"/>
      <c r="BA247" s="179"/>
      <c r="BB247" s="179"/>
      <c r="BC247" s="179"/>
      <c r="BD247" s="179"/>
      <c r="BE247" s="179"/>
      <c r="BF247" s="179"/>
      <c r="BG247" s="179"/>
      <c r="BH247" s="179"/>
      <c r="BI247" s="179"/>
      <c r="BJ247" s="179"/>
      <c r="BK247" s="179"/>
      <c r="BL247" s="179"/>
      <c r="BM247" s="179"/>
      <c r="BN247" s="179"/>
      <c r="BO247" s="179"/>
      <c r="BP247" s="179"/>
      <c r="BQ247" s="179"/>
      <c r="BR247" s="179"/>
      <c r="BS247" s="179"/>
      <c r="BT247" s="179"/>
      <c r="BU247" s="179"/>
      <c r="BV247" s="179"/>
      <c r="BW247" s="179"/>
      <c r="BX247" s="179"/>
      <c r="BY247" s="179"/>
      <c r="BZ247" s="179"/>
      <c r="CA247" s="179"/>
      <c r="CB247" s="179"/>
      <c r="CC247" s="179"/>
      <c r="CD247" s="179"/>
      <c r="CE247" s="179"/>
      <c r="CF247" s="179"/>
      <c r="CG247" s="179"/>
      <c r="CH247" s="179"/>
      <c r="CI247" s="179"/>
      <c r="CJ247" s="179"/>
      <c r="CK247" s="179"/>
      <c r="CL247" s="179"/>
      <c r="CM247" s="179"/>
      <c r="CN247" s="179"/>
      <c r="CO247" s="179"/>
      <c r="CP247" s="179"/>
      <c r="CQ247" s="179"/>
      <c r="CR247" s="179"/>
      <c r="CS247" s="179"/>
      <c r="CT247" s="179"/>
      <c r="CU247" s="179"/>
      <c r="CV247" s="179"/>
      <c r="CW247" s="179"/>
      <c r="CX247" s="179"/>
      <c r="CY247" s="179"/>
      <c r="CZ247" s="179"/>
      <c r="DA247" s="179"/>
      <c r="DB247" s="179"/>
      <c r="DC247" s="179"/>
      <c r="DD247" s="179"/>
      <c r="DE247" s="179"/>
      <c r="DF247" s="179"/>
      <c r="DG247" s="179"/>
      <c r="DH247" s="179"/>
      <c r="DI247" s="179"/>
      <c r="DJ247" s="179"/>
      <c r="DK247" s="179"/>
      <c r="DL247" s="179"/>
      <c r="DM247" s="179"/>
      <c r="DN247" s="179"/>
      <c r="DO247" s="179"/>
      <c r="DP247" s="179"/>
      <c r="DQ247" s="179"/>
      <c r="DR247" s="179"/>
      <c r="DS247" s="179"/>
      <c r="DT247" s="179"/>
      <c r="DU247" s="179"/>
      <c r="DV247" s="179"/>
      <c r="DW247" s="179"/>
      <c r="DX247" s="179"/>
      <c r="DY247" s="179"/>
      <c r="DZ247" s="179"/>
      <c r="EA247" s="179"/>
      <c r="EB247" s="179"/>
      <c r="EC247" s="179"/>
      <c r="ED247" s="179"/>
      <c r="EE247" s="179"/>
      <c r="EF247" s="179"/>
      <c r="EG247" s="179"/>
      <c r="EH247" s="179"/>
      <c r="EI247" s="179"/>
      <c r="EJ247" s="179"/>
      <c r="EK247" s="179"/>
      <c r="EL247" s="179"/>
      <c r="EM247" s="179"/>
      <c r="EN247" s="179"/>
      <c r="EO247" s="179"/>
      <c r="EP247" s="179"/>
      <c r="EQ247" s="179"/>
      <c r="ER247" s="179"/>
      <c r="ES247" s="179"/>
      <c r="ET247" s="179"/>
      <c r="EU247" s="179"/>
      <c r="EV247" s="179"/>
      <c r="EW247" s="179"/>
      <c r="EX247" s="179"/>
      <c r="EY247" s="179"/>
      <c r="EZ247" s="179"/>
      <c r="FA247" s="179"/>
      <c r="FB247" s="179"/>
      <c r="FC247" s="179"/>
      <c r="FD247" s="179"/>
      <c r="FE247" s="179"/>
      <c r="FF247" s="179"/>
      <c r="FG247" s="179"/>
      <c r="FH247" s="179"/>
      <c r="FI247" s="179"/>
      <c r="FJ247" s="179"/>
      <c r="FK247" s="179"/>
      <c r="FL247" s="179"/>
      <c r="FM247" s="179"/>
      <c r="FN247" s="179"/>
      <c r="FO247" s="179"/>
      <c r="FP247" s="179"/>
      <c r="FQ247" s="179"/>
      <c r="FR247" s="179"/>
      <c r="FS247" s="179"/>
      <c r="FT247" s="179"/>
      <c r="FU247" s="179"/>
      <c r="FV247" s="179"/>
      <c r="FW247" s="179"/>
      <c r="FX247" s="179"/>
      <c r="FY247" s="179"/>
      <c r="FZ247" s="179"/>
      <c r="GA247" s="179"/>
      <c r="GB247" s="179"/>
      <c r="GC247" s="179"/>
      <c r="GD247" s="179"/>
      <c r="GE247" s="179"/>
      <c r="GF247" s="179"/>
      <c r="GG247" s="179"/>
      <c r="GH247" s="179"/>
      <c r="GI247" s="179"/>
      <c r="GJ247" s="179"/>
      <c r="GK247" s="179"/>
      <c r="GL247" s="179"/>
      <c r="GM247" s="179"/>
      <c r="GN247" s="179"/>
      <c r="GO247" s="179"/>
      <c r="GP247" s="179"/>
      <c r="GQ247" s="179"/>
      <c r="GR247" s="179"/>
      <c r="GS247" s="179"/>
      <c r="GT247" s="179"/>
      <c r="GU247" s="179"/>
      <c r="GV247" s="179"/>
      <c r="GW247" s="179"/>
      <c r="GX247" s="179"/>
      <c r="GY247" s="179"/>
      <c r="GZ247" s="179"/>
      <c r="HA247" s="179"/>
      <c r="HB247" s="179"/>
      <c r="HC247" s="179"/>
      <c r="HD247" s="179"/>
      <c r="HE247" s="179"/>
      <c r="HF247" s="179"/>
      <c r="HG247" s="179"/>
      <c r="HH247" s="179"/>
      <c r="HI247" s="179"/>
      <c r="HJ247" s="179"/>
      <c r="HK247" s="179"/>
      <c r="HL247" s="179"/>
      <c r="HM247" s="179"/>
      <c r="HN247" s="179"/>
      <c r="HO247" s="179"/>
      <c r="HP247" s="179"/>
      <c r="HQ247" s="179"/>
      <c r="HR247" s="179"/>
      <c r="HS247" s="179"/>
      <c r="HT247" s="179"/>
      <c r="HU247" s="179"/>
      <c r="HV247" s="179"/>
      <c r="HW247" s="179"/>
      <c r="HX247" s="179"/>
      <c r="HY247" s="179"/>
      <c r="HZ247" s="179"/>
      <c r="IA247" s="179"/>
      <c r="IB247" s="179"/>
      <c r="IC247" s="179"/>
      <c r="ID247" s="179"/>
      <c r="IE247" s="179"/>
      <c r="IF247" s="179"/>
      <c r="IG247" s="179"/>
      <c r="IH247" s="179"/>
      <c r="II247" s="179"/>
      <c r="IJ247" s="179"/>
      <c r="IK247" s="179"/>
      <c r="IL247" s="179"/>
      <c r="IM247" s="179"/>
      <c r="IN247" s="179"/>
      <c r="IO247" s="179"/>
      <c r="IP247" s="179"/>
      <c r="IQ247" s="179"/>
      <c r="IR247" s="179"/>
    </row>
    <row r="248" spans="1:252">
      <c r="A248" s="325" t="s">
        <v>724</v>
      </c>
      <c r="B248" s="194">
        <f>19148.63*1.5</f>
        <v>28722.945</v>
      </c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  <c r="BA248" s="179"/>
      <c r="BB248" s="179"/>
      <c r="BC248" s="179"/>
      <c r="BD248" s="179"/>
      <c r="BE248" s="179"/>
      <c r="BF248" s="179"/>
      <c r="BG248" s="179"/>
      <c r="BH248" s="179"/>
      <c r="BI248" s="179"/>
      <c r="BJ248" s="179"/>
      <c r="BK248" s="179"/>
      <c r="BL248" s="179"/>
      <c r="BM248" s="179"/>
      <c r="BN248" s="179"/>
      <c r="BO248" s="179"/>
      <c r="BP248" s="179"/>
      <c r="BQ248" s="179"/>
      <c r="BR248" s="179"/>
      <c r="BS248" s="179"/>
      <c r="BT248" s="179"/>
      <c r="BU248" s="179"/>
      <c r="BV248" s="179"/>
      <c r="BW248" s="179"/>
      <c r="BX248" s="179"/>
      <c r="BY248" s="179"/>
      <c r="BZ248" s="179"/>
      <c r="CA248" s="179"/>
      <c r="CB248" s="179"/>
      <c r="CC248" s="179"/>
      <c r="CD248" s="179"/>
      <c r="CE248" s="179"/>
      <c r="CF248" s="179"/>
      <c r="CG248" s="179"/>
      <c r="CH248" s="179"/>
      <c r="CI248" s="179"/>
      <c r="CJ248" s="179"/>
      <c r="CK248" s="179"/>
      <c r="CL248" s="179"/>
      <c r="CM248" s="179"/>
      <c r="CN248" s="179"/>
      <c r="CO248" s="179"/>
      <c r="CP248" s="179"/>
      <c r="CQ248" s="179"/>
      <c r="CR248" s="179"/>
      <c r="CS248" s="179"/>
      <c r="CT248" s="179"/>
      <c r="CU248" s="179"/>
      <c r="CV248" s="179"/>
      <c r="CW248" s="179"/>
      <c r="CX248" s="179"/>
      <c r="CY248" s="179"/>
      <c r="CZ248" s="179"/>
      <c r="DA248" s="179"/>
      <c r="DB248" s="179"/>
      <c r="DC248" s="179"/>
      <c r="DD248" s="179"/>
      <c r="DE248" s="179"/>
      <c r="DF248" s="179"/>
      <c r="DG248" s="179"/>
      <c r="DH248" s="179"/>
      <c r="DI248" s="179"/>
      <c r="DJ248" s="179"/>
      <c r="DK248" s="179"/>
      <c r="DL248" s="179"/>
      <c r="DM248" s="179"/>
      <c r="DN248" s="179"/>
      <c r="DO248" s="179"/>
      <c r="DP248" s="179"/>
      <c r="DQ248" s="179"/>
      <c r="DR248" s="179"/>
      <c r="DS248" s="179"/>
      <c r="DT248" s="179"/>
      <c r="DU248" s="179"/>
      <c r="DV248" s="179"/>
      <c r="DW248" s="179"/>
      <c r="DX248" s="179"/>
      <c r="DY248" s="179"/>
      <c r="DZ248" s="179"/>
      <c r="EA248" s="179"/>
      <c r="EB248" s="179"/>
      <c r="EC248" s="179"/>
      <c r="ED248" s="179"/>
      <c r="EE248" s="179"/>
      <c r="EF248" s="179"/>
      <c r="EG248" s="179"/>
      <c r="EH248" s="179"/>
      <c r="EI248" s="179"/>
      <c r="EJ248" s="179"/>
      <c r="EK248" s="179"/>
      <c r="EL248" s="179"/>
      <c r="EM248" s="179"/>
      <c r="EN248" s="179"/>
      <c r="EO248" s="179"/>
      <c r="EP248" s="179"/>
      <c r="EQ248" s="179"/>
      <c r="ER248" s="179"/>
      <c r="ES248" s="179"/>
      <c r="ET248" s="179"/>
      <c r="EU248" s="179"/>
      <c r="EV248" s="179"/>
      <c r="EW248" s="179"/>
      <c r="EX248" s="179"/>
      <c r="EY248" s="179"/>
      <c r="EZ248" s="179"/>
      <c r="FA248" s="179"/>
      <c r="FB248" s="179"/>
      <c r="FC248" s="179"/>
      <c r="FD248" s="179"/>
      <c r="FE248" s="179"/>
      <c r="FF248" s="179"/>
      <c r="FG248" s="179"/>
      <c r="FH248" s="179"/>
      <c r="FI248" s="179"/>
      <c r="FJ248" s="179"/>
      <c r="FK248" s="179"/>
      <c r="FL248" s="179"/>
      <c r="FM248" s="179"/>
      <c r="FN248" s="179"/>
      <c r="FO248" s="179"/>
      <c r="FP248" s="179"/>
      <c r="FQ248" s="179"/>
      <c r="FR248" s="179"/>
      <c r="FS248" s="179"/>
      <c r="FT248" s="179"/>
      <c r="FU248" s="179"/>
      <c r="FV248" s="179"/>
      <c r="FW248" s="179"/>
      <c r="FX248" s="179"/>
      <c r="FY248" s="179"/>
      <c r="FZ248" s="179"/>
      <c r="GA248" s="179"/>
      <c r="GB248" s="179"/>
      <c r="GC248" s="179"/>
      <c r="GD248" s="179"/>
      <c r="GE248" s="179"/>
      <c r="GF248" s="179"/>
      <c r="GG248" s="179"/>
      <c r="GH248" s="179"/>
      <c r="GI248" s="179"/>
      <c r="GJ248" s="179"/>
      <c r="GK248" s="179"/>
      <c r="GL248" s="179"/>
      <c r="GM248" s="179"/>
      <c r="GN248" s="179"/>
      <c r="GO248" s="179"/>
      <c r="GP248" s="179"/>
      <c r="GQ248" s="179"/>
      <c r="GR248" s="179"/>
      <c r="GS248" s="179"/>
      <c r="GT248" s="179"/>
      <c r="GU248" s="179"/>
      <c r="GV248" s="179"/>
      <c r="GW248" s="179"/>
      <c r="GX248" s="179"/>
      <c r="GY248" s="179"/>
      <c r="GZ248" s="179"/>
      <c r="HA248" s="179"/>
      <c r="HB248" s="179"/>
      <c r="HC248" s="179"/>
      <c r="HD248" s="179"/>
      <c r="HE248" s="179"/>
      <c r="HF248" s="179"/>
      <c r="HG248" s="179"/>
      <c r="HH248" s="179"/>
      <c r="HI248" s="179"/>
      <c r="HJ248" s="179"/>
      <c r="HK248" s="179"/>
      <c r="HL248" s="179"/>
      <c r="HM248" s="179"/>
      <c r="HN248" s="179"/>
      <c r="HO248" s="179"/>
      <c r="HP248" s="179"/>
      <c r="HQ248" s="179"/>
      <c r="HR248" s="179"/>
      <c r="HS248" s="179"/>
      <c r="HT248" s="179"/>
      <c r="HU248" s="179"/>
      <c r="HV248" s="179"/>
      <c r="HW248" s="179"/>
      <c r="HX248" s="179"/>
      <c r="HY248" s="179"/>
      <c r="HZ248" s="179"/>
      <c r="IA248" s="179"/>
      <c r="IB248" s="179"/>
      <c r="IC248" s="179"/>
      <c r="ID248" s="179"/>
      <c r="IE248" s="179"/>
      <c r="IF248" s="179"/>
      <c r="IG248" s="179"/>
      <c r="IH248" s="179"/>
      <c r="II248" s="179"/>
      <c r="IJ248" s="179"/>
      <c r="IK248" s="179"/>
      <c r="IL248" s="179"/>
      <c r="IM248" s="179"/>
      <c r="IN248" s="179"/>
      <c r="IO248" s="179"/>
      <c r="IP248" s="179"/>
      <c r="IQ248" s="179"/>
      <c r="IR248" s="179"/>
    </row>
    <row r="249" spans="1:252">
      <c r="A249" s="325" t="s">
        <v>3821</v>
      </c>
      <c r="B249" s="194">
        <f>2300*12</f>
        <v>27600</v>
      </c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79"/>
      <c r="BA249" s="179"/>
      <c r="BB249" s="179"/>
      <c r="BC249" s="179"/>
      <c r="BD249" s="179"/>
      <c r="BE249" s="179"/>
      <c r="BF249" s="179"/>
      <c r="BG249" s="179"/>
      <c r="BH249" s="179"/>
      <c r="BI249" s="179"/>
      <c r="BJ249" s="179"/>
      <c r="BK249" s="179"/>
      <c r="BL249" s="179"/>
      <c r="BM249" s="179"/>
      <c r="BN249" s="179"/>
      <c r="BO249" s="179"/>
      <c r="BP249" s="179"/>
      <c r="BQ249" s="179"/>
      <c r="BR249" s="179"/>
      <c r="BS249" s="179"/>
      <c r="BT249" s="179"/>
      <c r="BU249" s="179"/>
      <c r="BV249" s="179"/>
      <c r="BW249" s="179"/>
      <c r="BX249" s="179"/>
      <c r="BY249" s="179"/>
      <c r="BZ249" s="179"/>
      <c r="CA249" s="179"/>
      <c r="CB249" s="179"/>
      <c r="CC249" s="179"/>
      <c r="CD249" s="179"/>
      <c r="CE249" s="179"/>
      <c r="CF249" s="179"/>
      <c r="CG249" s="179"/>
      <c r="CH249" s="179"/>
      <c r="CI249" s="179"/>
      <c r="CJ249" s="179"/>
      <c r="CK249" s="179"/>
      <c r="CL249" s="179"/>
      <c r="CM249" s="179"/>
      <c r="CN249" s="179"/>
      <c r="CO249" s="179"/>
      <c r="CP249" s="179"/>
      <c r="CQ249" s="179"/>
      <c r="CR249" s="179"/>
      <c r="CS249" s="179"/>
      <c r="CT249" s="179"/>
      <c r="CU249" s="179"/>
      <c r="CV249" s="179"/>
      <c r="CW249" s="179"/>
      <c r="CX249" s="179"/>
      <c r="CY249" s="179"/>
      <c r="CZ249" s="179"/>
      <c r="DA249" s="179"/>
      <c r="DB249" s="179"/>
      <c r="DC249" s="179"/>
      <c r="DD249" s="179"/>
      <c r="DE249" s="179"/>
      <c r="DF249" s="179"/>
      <c r="DG249" s="179"/>
      <c r="DH249" s="179"/>
      <c r="DI249" s="179"/>
      <c r="DJ249" s="179"/>
      <c r="DK249" s="179"/>
      <c r="DL249" s="179"/>
      <c r="DM249" s="179"/>
      <c r="DN249" s="179"/>
      <c r="DO249" s="179"/>
      <c r="DP249" s="179"/>
      <c r="DQ249" s="179"/>
      <c r="DR249" s="179"/>
      <c r="DS249" s="179"/>
      <c r="DT249" s="179"/>
      <c r="DU249" s="179"/>
      <c r="DV249" s="179"/>
      <c r="DW249" s="179"/>
      <c r="DX249" s="179"/>
      <c r="DY249" s="179"/>
      <c r="DZ249" s="179"/>
      <c r="EA249" s="179"/>
      <c r="EB249" s="179"/>
      <c r="EC249" s="179"/>
      <c r="ED249" s="179"/>
      <c r="EE249" s="179"/>
      <c r="EF249" s="179"/>
      <c r="EG249" s="179"/>
      <c r="EH249" s="179"/>
      <c r="EI249" s="179"/>
      <c r="EJ249" s="179"/>
      <c r="EK249" s="179"/>
      <c r="EL249" s="179"/>
      <c r="EM249" s="179"/>
      <c r="EN249" s="179"/>
      <c r="EO249" s="179"/>
      <c r="EP249" s="179"/>
      <c r="EQ249" s="179"/>
      <c r="ER249" s="179"/>
      <c r="ES249" s="179"/>
      <c r="ET249" s="179"/>
      <c r="EU249" s="179"/>
      <c r="EV249" s="179"/>
      <c r="EW249" s="179"/>
      <c r="EX249" s="179"/>
      <c r="EY249" s="179"/>
      <c r="EZ249" s="179"/>
      <c r="FA249" s="179"/>
      <c r="FB249" s="179"/>
      <c r="FC249" s="179"/>
      <c r="FD249" s="179"/>
      <c r="FE249" s="179"/>
      <c r="FF249" s="179"/>
      <c r="FG249" s="179"/>
      <c r="FH249" s="179"/>
      <c r="FI249" s="179"/>
      <c r="FJ249" s="179"/>
      <c r="FK249" s="179"/>
      <c r="FL249" s="179"/>
      <c r="FM249" s="179"/>
      <c r="FN249" s="179"/>
      <c r="FO249" s="179"/>
      <c r="FP249" s="179"/>
      <c r="FQ249" s="179"/>
      <c r="FR249" s="179"/>
      <c r="FS249" s="179"/>
      <c r="FT249" s="179"/>
      <c r="FU249" s="179"/>
      <c r="FV249" s="179"/>
      <c r="FW249" s="179"/>
      <c r="FX249" s="179"/>
      <c r="FY249" s="179"/>
      <c r="FZ249" s="179"/>
      <c r="GA249" s="179"/>
      <c r="GB249" s="179"/>
      <c r="GC249" s="179"/>
      <c r="GD249" s="179"/>
      <c r="GE249" s="179"/>
      <c r="GF249" s="179"/>
      <c r="GG249" s="179"/>
      <c r="GH249" s="179"/>
      <c r="GI249" s="179"/>
      <c r="GJ249" s="179"/>
      <c r="GK249" s="179"/>
      <c r="GL249" s="179"/>
      <c r="GM249" s="179"/>
      <c r="GN249" s="179"/>
      <c r="GO249" s="179"/>
      <c r="GP249" s="179"/>
      <c r="GQ249" s="179"/>
      <c r="GR249" s="179"/>
      <c r="GS249" s="179"/>
      <c r="GT249" s="179"/>
      <c r="GU249" s="179"/>
      <c r="GV249" s="179"/>
      <c r="GW249" s="179"/>
      <c r="GX249" s="179"/>
      <c r="GY249" s="179"/>
      <c r="GZ249" s="179"/>
      <c r="HA249" s="179"/>
      <c r="HB249" s="179"/>
      <c r="HC249" s="179"/>
      <c r="HD249" s="179"/>
      <c r="HE249" s="179"/>
      <c r="HF249" s="179"/>
      <c r="HG249" s="179"/>
      <c r="HH249" s="179"/>
      <c r="HI249" s="179"/>
      <c r="HJ249" s="179"/>
      <c r="HK249" s="179"/>
      <c r="HL249" s="179"/>
      <c r="HM249" s="179"/>
      <c r="HN249" s="179"/>
      <c r="HO249" s="179"/>
      <c r="HP249" s="179"/>
      <c r="HQ249" s="179"/>
      <c r="HR249" s="179"/>
      <c r="HS249" s="179"/>
      <c r="HT249" s="179"/>
      <c r="HU249" s="179"/>
      <c r="HV249" s="179"/>
      <c r="HW249" s="179"/>
      <c r="HX249" s="179"/>
      <c r="HY249" s="179"/>
      <c r="HZ249" s="179"/>
      <c r="IA249" s="179"/>
      <c r="IB249" s="179"/>
      <c r="IC249" s="179"/>
      <c r="ID249" s="179"/>
      <c r="IE249" s="179"/>
      <c r="IF249" s="179"/>
      <c r="IG249" s="179"/>
      <c r="IH249" s="179"/>
      <c r="II249" s="179"/>
      <c r="IJ249" s="179"/>
      <c r="IK249" s="179"/>
      <c r="IL249" s="179"/>
      <c r="IM249" s="179"/>
      <c r="IN249" s="179"/>
      <c r="IO249" s="179"/>
      <c r="IP249" s="179"/>
      <c r="IQ249" s="179"/>
      <c r="IR249" s="179"/>
    </row>
    <row r="250" spans="1:252">
      <c r="A250" s="325" t="s">
        <v>1599</v>
      </c>
      <c r="B250" s="194">
        <v>107545.82</v>
      </c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179"/>
      <c r="AZ250" s="179"/>
      <c r="BA250" s="179"/>
      <c r="BB250" s="179"/>
      <c r="BC250" s="179"/>
      <c r="BD250" s="179"/>
      <c r="BE250" s="179"/>
      <c r="BF250" s="179"/>
      <c r="BG250" s="179"/>
      <c r="BH250" s="179"/>
      <c r="BI250" s="179"/>
      <c r="BJ250" s="179"/>
      <c r="BK250" s="179"/>
      <c r="BL250" s="179"/>
      <c r="BM250" s="179"/>
      <c r="BN250" s="179"/>
      <c r="BO250" s="179"/>
      <c r="BP250" s="179"/>
      <c r="BQ250" s="179"/>
      <c r="BR250" s="179"/>
      <c r="BS250" s="179"/>
      <c r="BT250" s="179"/>
      <c r="BU250" s="179"/>
      <c r="BV250" s="179"/>
      <c r="BW250" s="179"/>
      <c r="BX250" s="179"/>
      <c r="BY250" s="179"/>
      <c r="BZ250" s="179"/>
      <c r="CA250" s="179"/>
      <c r="CB250" s="179"/>
      <c r="CC250" s="179"/>
      <c r="CD250" s="179"/>
      <c r="CE250" s="179"/>
      <c r="CF250" s="179"/>
      <c r="CG250" s="179"/>
      <c r="CH250" s="179"/>
      <c r="CI250" s="179"/>
      <c r="CJ250" s="179"/>
      <c r="CK250" s="179"/>
      <c r="CL250" s="179"/>
      <c r="CM250" s="179"/>
      <c r="CN250" s="179"/>
      <c r="CO250" s="179"/>
      <c r="CP250" s="179"/>
      <c r="CQ250" s="179"/>
      <c r="CR250" s="179"/>
      <c r="CS250" s="179"/>
      <c r="CT250" s="179"/>
      <c r="CU250" s="179"/>
      <c r="CV250" s="179"/>
      <c r="CW250" s="179"/>
      <c r="CX250" s="179"/>
      <c r="CY250" s="179"/>
      <c r="CZ250" s="179"/>
      <c r="DA250" s="179"/>
      <c r="DB250" s="179"/>
      <c r="DC250" s="179"/>
      <c r="DD250" s="179"/>
      <c r="DE250" s="179"/>
      <c r="DF250" s="179"/>
      <c r="DG250" s="179"/>
      <c r="DH250" s="179"/>
      <c r="DI250" s="179"/>
      <c r="DJ250" s="179"/>
      <c r="DK250" s="179"/>
      <c r="DL250" s="179"/>
      <c r="DM250" s="179"/>
      <c r="DN250" s="179"/>
      <c r="DO250" s="179"/>
      <c r="DP250" s="179"/>
      <c r="DQ250" s="179"/>
      <c r="DR250" s="179"/>
      <c r="DS250" s="179"/>
      <c r="DT250" s="179"/>
      <c r="DU250" s="179"/>
      <c r="DV250" s="179"/>
      <c r="DW250" s="179"/>
      <c r="DX250" s="179"/>
      <c r="DY250" s="179"/>
      <c r="DZ250" s="179"/>
      <c r="EA250" s="179"/>
      <c r="EB250" s="179"/>
      <c r="EC250" s="179"/>
      <c r="ED250" s="179"/>
      <c r="EE250" s="179"/>
      <c r="EF250" s="179"/>
      <c r="EG250" s="179"/>
      <c r="EH250" s="179"/>
      <c r="EI250" s="179"/>
      <c r="EJ250" s="179"/>
      <c r="EK250" s="179"/>
      <c r="EL250" s="179"/>
      <c r="EM250" s="179"/>
      <c r="EN250" s="179"/>
      <c r="EO250" s="179"/>
      <c r="EP250" s="179"/>
      <c r="EQ250" s="179"/>
      <c r="ER250" s="179"/>
      <c r="ES250" s="179"/>
      <c r="ET250" s="179"/>
      <c r="EU250" s="179"/>
      <c r="EV250" s="179"/>
      <c r="EW250" s="179"/>
      <c r="EX250" s="179"/>
      <c r="EY250" s="179"/>
      <c r="EZ250" s="179"/>
      <c r="FA250" s="179"/>
      <c r="FB250" s="179"/>
      <c r="FC250" s="179"/>
      <c r="FD250" s="179"/>
      <c r="FE250" s="179"/>
      <c r="FF250" s="179"/>
      <c r="FG250" s="179"/>
      <c r="FH250" s="179"/>
      <c r="FI250" s="179"/>
      <c r="FJ250" s="179"/>
      <c r="FK250" s="179"/>
      <c r="FL250" s="179"/>
      <c r="FM250" s="179"/>
      <c r="FN250" s="179"/>
      <c r="FO250" s="179"/>
      <c r="FP250" s="179"/>
      <c r="FQ250" s="179"/>
      <c r="FR250" s="179"/>
      <c r="FS250" s="179"/>
      <c r="FT250" s="179"/>
      <c r="FU250" s="179"/>
      <c r="FV250" s="179"/>
      <c r="FW250" s="179"/>
      <c r="FX250" s="179"/>
      <c r="FY250" s="179"/>
      <c r="FZ250" s="179"/>
      <c r="GA250" s="179"/>
      <c r="GB250" s="179"/>
      <c r="GC250" s="179"/>
      <c r="GD250" s="179"/>
      <c r="GE250" s="179"/>
      <c r="GF250" s="179"/>
      <c r="GG250" s="179"/>
      <c r="GH250" s="179"/>
      <c r="GI250" s="179"/>
      <c r="GJ250" s="179"/>
      <c r="GK250" s="179"/>
      <c r="GL250" s="179"/>
      <c r="GM250" s="179"/>
      <c r="GN250" s="179"/>
      <c r="GO250" s="179"/>
      <c r="GP250" s="179"/>
      <c r="GQ250" s="179"/>
      <c r="GR250" s="179"/>
      <c r="GS250" s="179"/>
      <c r="GT250" s="179"/>
      <c r="GU250" s="179"/>
      <c r="GV250" s="179"/>
      <c r="GW250" s="179"/>
      <c r="GX250" s="179"/>
      <c r="GY250" s="179"/>
      <c r="GZ250" s="179"/>
      <c r="HA250" s="179"/>
      <c r="HB250" s="179"/>
      <c r="HC250" s="179"/>
      <c r="HD250" s="179"/>
      <c r="HE250" s="179"/>
      <c r="HF250" s="179"/>
      <c r="HG250" s="179"/>
      <c r="HH250" s="179"/>
      <c r="HI250" s="179"/>
      <c r="HJ250" s="179"/>
      <c r="HK250" s="179"/>
      <c r="HL250" s="179"/>
      <c r="HM250" s="179"/>
      <c r="HN250" s="179"/>
      <c r="HO250" s="179"/>
      <c r="HP250" s="179"/>
      <c r="HQ250" s="179"/>
      <c r="HR250" s="179"/>
      <c r="HS250" s="179"/>
      <c r="HT250" s="179"/>
      <c r="HU250" s="179"/>
      <c r="HV250" s="179"/>
      <c r="HW250" s="179"/>
      <c r="HX250" s="179"/>
      <c r="HY250" s="179"/>
      <c r="HZ250" s="179"/>
      <c r="IA250" s="179"/>
      <c r="IB250" s="179"/>
      <c r="IC250" s="179"/>
      <c r="ID250" s="179"/>
      <c r="IE250" s="179"/>
      <c r="IF250" s="179"/>
      <c r="IG250" s="179"/>
      <c r="IH250" s="179"/>
      <c r="II250" s="179"/>
      <c r="IJ250" s="179"/>
      <c r="IK250" s="179"/>
      <c r="IL250" s="179"/>
      <c r="IM250" s="179"/>
      <c r="IN250" s="179"/>
      <c r="IO250" s="179"/>
      <c r="IP250" s="179"/>
      <c r="IQ250" s="179"/>
      <c r="IR250" s="179"/>
    </row>
    <row r="251" spans="1:252" s="75" customFormat="1">
      <c r="A251" s="542" t="s">
        <v>2600</v>
      </c>
      <c r="B251" s="194">
        <f>B236-B238-B250</f>
        <v>-135631.52195965924</v>
      </c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  <c r="BA251" s="197"/>
      <c r="BB251" s="197"/>
      <c r="BC251" s="197"/>
      <c r="BD251" s="197"/>
      <c r="BE251" s="197"/>
      <c r="BF251" s="197"/>
      <c r="BG251" s="197"/>
      <c r="BH251" s="197"/>
      <c r="BI251" s="197"/>
      <c r="BJ251" s="197"/>
      <c r="BK251" s="197"/>
      <c r="BL251" s="197"/>
      <c r="BM251" s="197"/>
      <c r="BN251" s="197"/>
      <c r="BO251" s="197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  <c r="EG251" s="197"/>
      <c r="EH251" s="197"/>
      <c r="EI251" s="197"/>
      <c r="EJ251" s="197"/>
      <c r="EK251" s="197"/>
      <c r="EL251" s="197"/>
      <c r="EM251" s="197"/>
      <c r="EN251" s="197"/>
      <c r="EO251" s="197"/>
      <c r="EP251" s="197"/>
      <c r="EQ251" s="197"/>
      <c r="ER251" s="197"/>
      <c r="ES251" s="197"/>
      <c r="ET251" s="197"/>
      <c r="EU251" s="197"/>
      <c r="EV251" s="197"/>
      <c r="EW251" s="197"/>
      <c r="EX251" s="197"/>
      <c r="EY251" s="197"/>
      <c r="EZ251" s="197"/>
      <c r="FA251" s="197"/>
      <c r="FB251" s="197"/>
      <c r="FC251" s="197"/>
      <c r="FD251" s="197"/>
      <c r="FE251" s="197"/>
      <c r="FF251" s="197"/>
      <c r="FG251" s="197"/>
      <c r="FH251" s="197"/>
      <c r="FI251" s="197"/>
      <c r="FJ251" s="197"/>
      <c r="FK251" s="197"/>
      <c r="FL251" s="197"/>
      <c r="FM251" s="197"/>
      <c r="FN251" s="197"/>
      <c r="FO251" s="197"/>
      <c r="FP251" s="197"/>
      <c r="FQ251" s="197"/>
      <c r="FR251" s="197"/>
      <c r="FS251" s="197"/>
      <c r="FT251" s="197"/>
      <c r="FU251" s="197"/>
      <c r="FV251" s="197"/>
      <c r="FW251" s="197"/>
      <c r="FX251" s="197"/>
      <c r="FY251" s="197"/>
      <c r="FZ251" s="197"/>
      <c r="GA251" s="197"/>
      <c r="GB251" s="197"/>
      <c r="GC251" s="197"/>
      <c r="GD251" s="197"/>
      <c r="GE251" s="197"/>
      <c r="GF251" s="197"/>
      <c r="GG251" s="197"/>
      <c r="GH251" s="197"/>
      <c r="GI251" s="197"/>
      <c r="GJ251" s="197"/>
      <c r="GK251" s="197"/>
      <c r="GL251" s="197"/>
      <c r="GM251" s="197"/>
      <c r="GN251" s="197"/>
      <c r="GO251" s="197"/>
      <c r="GP251" s="197"/>
      <c r="GQ251" s="197"/>
      <c r="GR251" s="197"/>
      <c r="GS251" s="197"/>
      <c r="GT251" s="197"/>
      <c r="GU251" s="197"/>
      <c r="GV251" s="197"/>
      <c r="GW251" s="197"/>
      <c r="GX251" s="197"/>
      <c r="GY251" s="197"/>
      <c r="GZ251" s="197"/>
      <c r="HA251" s="197"/>
      <c r="HB251" s="197"/>
      <c r="HC251" s="197"/>
      <c r="HD251" s="197"/>
      <c r="HE251" s="197"/>
      <c r="HF251" s="197"/>
      <c r="HG251" s="197"/>
      <c r="HH251" s="197"/>
      <c r="HI251" s="197"/>
      <c r="HJ251" s="197"/>
      <c r="HK251" s="197"/>
      <c r="HL251" s="197"/>
      <c r="HM251" s="197"/>
      <c r="HN251" s="197"/>
      <c r="HO251" s="197"/>
      <c r="HP251" s="197"/>
      <c r="HQ251" s="197"/>
      <c r="HR251" s="197"/>
      <c r="HS251" s="197"/>
      <c r="HT251" s="197"/>
      <c r="HU251" s="197"/>
      <c r="HV251" s="197"/>
      <c r="HW251" s="197"/>
      <c r="HX251" s="197"/>
      <c r="HY251" s="197"/>
      <c r="HZ251" s="197"/>
      <c r="IA251" s="197"/>
      <c r="IB251" s="197"/>
      <c r="IC251" s="197"/>
      <c r="ID251" s="197"/>
      <c r="IE251" s="197"/>
      <c r="IF251" s="197"/>
      <c r="IG251" s="197"/>
      <c r="IH251" s="197"/>
      <c r="II251" s="197"/>
      <c r="IJ251" s="197"/>
      <c r="IK251" s="197"/>
      <c r="IL251" s="197"/>
      <c r="IM251" s="197"/>
      <c r="IN251" s="197"/>
      <c r="IO251" s="197"/>
    </row>
    <row r="252" spans="1:252" s="75" customFormat="1">
      <c r="A252" s="567"/>
      <c r="B252" s="568"/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197"/>
      <c r="AT252" s="197"/>
      <c r="AU252" s="197"/>
      <c r="AV252" s="197"/>
      <c r="AW252" s="197"/>
      <c r="AX252" s="197"/>
      <c r="AY252" s="197"/>
      <c r="AZ252" s="197"/>
      <c r="BA252" s="197"/>
      <c r="BB252" s="197"/>
      <c r="BC252" s="197"/>
      <c r="BD252" s="197"/>
      <c r="BE252" s="197"/>
      <c r="BF252" s="197"/>
      <c r="BG252" s="197"/>
      <c r="BH252" s="197"/>
      <c r="BI252" s="197"/>
      <c r="BJ252" s="197"/>
      <c r="BK252" s="197"/>
      <c r="BL252" s="197"/>
      <c r="BM252" s="197"/>
      <c r="BN252" s="197"/>
      <c r="BO252" s="197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  <c r="EG252" s="197"/>
      <c r="EH252" s="197"/>
      <c r="EI252" s="197"/>
      <c r="EJ252" s="197"/>
      <c r="EK252" s="197"/>
      <c r="EL252" s="197"/>
      <c r="EM252" s="197"/>
      <c r="EN252" s="197"/>
      <c r="EO252" s="197"/>
      <c r="EP252" s="197"/>
      <c r="EQ252" s="197"/>
      <c r="ER252" s="197"/>
      <c r="ES252" s="197"/>
      <c r="ET252" s="197"/>
      <c r="EU252" s="197"/>
      <c r="EV252" s="197"/>
      <c r="EW252" s="197"/>
      <c r="EX252" s="197"/>
      <c r="EY252" s="197"/>
      <c r="EZ252" s="197"/>
      <c r="FA252" s="197"/>
      <c r="FB252" s="197"/>
      <c r="FC252" s="197"/>
      <c r="FD252" s="197"/>
      <c r="FE252" s="197"/>
      <c r="FF252" s="197"/>
      <c r="FG252" s="197"/>
      <c r="FH252" s="197"/>
      <c r="FI252" s="197"/>
      <c r="FJ252" s="197"/>
      <c r="FK252" s="197"/>
      <c r="FL252" s="197"/>
      <c r="FM252" s="197"/>
      <c r="FN252" s="197"/>
      <c r="FO252" s="197"/>
      <c r="FP252" s="197"/>
      <c r="FQ252" s="197"/>
      <c r="FR252" s="197"/>
      <c r="FS252" s="197"/>
      <c r="FT252" s="197"/>
      <c r="FU252" s="197"/>
      <c r="FV252" s="197"/>
      <c r="FW252" s="197"/>
      <c r="FX252" s="197"/>
      <c r="FY252" s="197"/>
      <c r="FZ252" s="197"/>
      <c r="GA252" s="197"/>
      <c r="GB252" s="197"/>
      <c r="GC252" s="197"/>
      <c r="GD252" s="197"/>
      <c r="GE252" s="197"/>
      <c r="GF252" s="197"/>
      <c r="GG252" s="197"/>
      <c r="GH252" s="197"/>
      <c r="GI252" s="197"/>
      <c r="GJ252" s="197"/>
      <c r="GK252" s="197"/>
      <c r="GL252" s="197"/>
      <c r="GM252" s="197"/>
      <c r="GN252" s="197"/>
      <c r="GO252" s="197"/>
      <c r="GP252" s="197"/>
      <c r="GQ252" s="197"/>
      <c r="GR252" s="197"/>
      <c r="GS252" s="197"/>
      <c r="GT252" s="197"/>
      <c r="GU252" s="197"/>
      <c r="GV252" s="197"/>
      <c r="GW252" s="197"/>
      <c r="GX252" s="197"/>
      <c r="GY252" s="197"/>
      <c r="GZ252" s="197"/>
      <c r="HA252" s="197"/>
      <c r="HB252" s="197"/>
      <c r="HC252" s="197"/>
      <c r="HD252" s="197"/>
      <c r="HE252" s="197"/>
      <c r="HF252" s="197"/>
      <c r="HG252" s="197"/>
      <c r="HH252" s="197"/>
      <c r="HI252" s="197"/>
      <c r="HJ252" s="197"/>
      <c r="HK252" s="197"/>
      <c r="HL252" s="197"/>
      <c r="HM252" s="197"/>
      <c r="HN252" s="197"/>
      <c r="HO252" s="197"/>
      <c r="HP252" s="197"/>
      <c r="HQ252" s="197"/>
      <c r="HR252" s="197"/>
      <c r="HS252" s="197"/>
      <c r="HT252" s="197"/>
      <c r="HU252" s="197"/>
      <c r="HV252" s="197"/>
      <c r="HW252" s="197"/>
      <c r="HX252" s="197"/>
      <c r="HY252" s="197"/>
      <c r="HZ252" s="197"/>
      <c r="IA252" s="197"/>
      <c r="IB252" s="197"/>
      <c r="IC252" s="197"/>
      <c r="ID252" s="197"/>
      <c r="IE252" s="197"/>
      <c r="IF252" s="197"/>
      <c r="IG252" s="197"/>
      <c r="IH252" s="197"/>
      <c r="II252" s="197"/>
      <c r="IJ252" s="197"/>
      <c r="IK252" s="197"/>
      <c r="IL252" s="197"/>
      <c r="IM252" s="197"/>
      <c r="IN252" s="197"/>
      <c r="IO252" s="197"/>
    </row>
    <row r="253" spans="1:252">
      <c r="A253" s="566" t="s">
        <v>605</v>
      </c>
      <c r="B253" s="230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179"/>
      <c r="AK253" s="179"/>
      <c r="AL253" s="179"/>
      <c r="AM253" s="179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79"/>
      <c r="AZ253" s="179"/>
      <c r="BA253" s="179"/>
      <c r="BB253" s="179"/>
      <c r="BC253" s="179"/>
      <c r="BD253" s="179"/>
      <c r="BE253" s="179"/>
      <c r="BF253" s="179"/>
      <c r="BG253" s="179"/>
      <c r="BH253" s="179"/>
      <c r="BI253" s="179"/>
      <c r="BJ253" s="179"/>
      <c r="BK253" s="179"/>
      <c r="BL253" s="179"/>
      <c r="BM253" s="179"/>
      <c r="BN253" s="179"/>
      <c r="BO253" s="179"/>
      <c r="BP253" s="179"/>
      <c r="BQ253" s="179"/>
      <c r="BR253" s="179"/>
      <c r="BS253" s="179"/>
      <c r="BT253" s="179"/>
      <c r="BU253" s="179"/>
      <c r="BV253" s="179"/>
      <c r="BW253" s="179"/>
      <c r="BX253" s="179"/>
      <c r="BY253" s="179"/>
      <c r="BZ253" s="179"/>
      <c r="CA253" s="179"/>
      <c r="CB253" s="179"/>
      <c r="CC253" s="179"/>
      <c r="CD253" s="179"/>
      <c r="CE253" s="179"/>
      <c r="CF253" s="179"/>
      <c r="CG253" s="179"/>
      <c r="CH253" s="179"/>
      <c r="CI253" s="179"/>
      <c r="CJ253" s="179"/>
      <c r="CK253" s="179"/>
      <c r="CL253" s="179"/>
      <c r="CM253" s="179"/>
      <c r="CN253" s="179"/>
      <c r="CO253" s="179"/>
      <c r="CP253" s="179"/>
      <c r="CQ253" s="179"/>
      <c r="CR253" s="179"/>
      <c r="CS253" s="179"/>
      <c r="CT253" s="179"/>
      <c r="CU253" s="179"/>
      <c r="CV253" s="179"/>
      <c r="CW253" s="179"/>
      <c r="CX253" s="179"/>
      <c r="CY253" s="179"/>
      <c r="CZ253" s="179"/>
      <c r="DA253" s="179"/>
      <c r="DB253" s="179"/>
      <c r="DC253" s="179"/>
      <c r="DD253" s="179"/>
      <c r="DE253" s="179"/>
      <c r="DF253" s="179"/>
      <c r="DG253" s="179"/>
      <c r="DH253" s="179"/>
      <c r="DI253" s="179"/>
      <c r="DJ253" s="179"/>
      <c r="DK253" s="179"/>
      <c r="DL253" s="179"/>
      <c r="DM253" s="179"/>
      <c r="DN253" s="179"/>
      <c r="DO253" s="179"/>
      <c r="DP253" s="179"/>
      <c r="DQ253" s="179"/>
      <c r="DR253" s="179"/>
      <c r="DS253" s="179"/>
      <c r="DT253" s="179"/>
      <c r="DU253" s="179"/>
      <c r="DV253" s="179"/>
      <c r="DW253" s="179"/>
      <c r="DX253" s="179"/>
      <c r="DY253" s="179"/>
      <c r="DZ253" s="179"/>
      <c r="EA253" s="179"/>
      <c r="EB253" s="179"/>
      <c r="EC253" s="179"/>
      <c r="ED253" s="179"/>
      <c r="EE253" s="179"/>
      <c r="EF253" s="179"/>
      <c r="EG253" s="179"/>
      <c r="EH253" s="179"/>
      <c r="EI253" s="179"/>
      <c r="EJ253" s="179"/>
      <c r="EK253" s="179"/>
      <c r="EL253" s="179"/>
      <c r="EM253" s="179"/>
      <c r="EN253" s="179"/>
      <c r="EO253" s="179"/>
      <c r="EP253" s="179"/>
      <c r="EQ253" s="179"/>
      <c r="ER253" s="179"/>
      <c r="ES253" s="179"/>
      <c r="ET253" s="179"/>
      <c r="EU253" s="179"/>
      <c r="EV253" s="179"/>
      <c r="EW253" s="179"/>
      <c r="EX253" s="179"/>
      <c r="EY253" s="179"/>
      <c r="EZ253" s="179"/>
      <c r="FA253" s="179"/>
      <c r="FB253" s="179"/>
      <c r="FC253" s="179"/>
      <c r="FD253" s="179"/>
      <c r="FE253" s="179"/>
      <c r="FF253" s="179"/>
      <c r="FG253" s="179"/>
      <c r="FH253" s="179"/>
      <c r="FI253" s="179"/>
      <c r="FJ253" s="179"/>
      <c r="FK253" s="179"/>
      <c r="FL253" s="179"/>
      <c r="FM253" s="179"/>
      <c r="FN253" s="179"/>
      <c r="FO253" s="179"/>
      <c r="FP253" s="179"/>
      <c r="FQ253" s="179"/>
      <c r="FR253" s="179"/>
      <c r="FS253" s="179"/>
      <c r="FT253" s="179"/>
      <c r="FU253" s="179"/>
      <c r="FV253" s="179"/>
      <c r="FW253" s="179"/>
      <c r="FX253" s="179"/>
      <c r="FY253" s="179"/>
      <c r="FZ253" s="179"/>
      <c r="GA253" s="179"/>
      <c r="GB253" s="179"/>
      <c r="GC253" s="179"/>
      <c r="GD253" s="179"/>
      <c r="GE253" s="179"/>
      <c r="GF253" s="179"/>
      <c r="GG253" s="179"/>
      <c r="GH253" s="179"/>
      <c r="GI253" s="179"/>
      <c r="GJ253" s="179"/>
      <c r="GK253" s="179"/>
      <c r="GL253" s="179"/>
      <c r="GM253" s="179"/>
      <c r="GN253" s="179"/>
      <c r="GO253" s="179"/>
      <c r="GP253" s="179"/>
      <c r="GQ253" s="179"/>
      <c r="GR253" s="179"/>
      <c r="GS253" s="179"/>
      <c r="GT253" s="179"/>
      <c r="GU253" s="179"/>
      <c r="GV253" s="179"/>
      <c r="GW253" s="179"/>
      <c r="GX253" s="179"/>
      <c r="GY253" s="179"/>
      <c r="GZ253" s="179"/>
      <c r="HA253" s="179"/>
      <c r="HB253" s="179"/>
      <c r="HC253" s="179"/>
      <c r="HD253" s="179"/>
      <c r="HE253" s="179"/>
      <c r="HF253" s="179"/>
      <c r="HG253" s="179"/>
      <c r="HH253" s="179"/>
      <c r="HI253" s="179"/>
      <c r="HJ253" s="179"/>
      <c r="HK253" s="179"/>
      <c r="HL253" s="179"/>
      <c r="HM253" s="179"/>
      <c r="HN253" s="179"/>
      <c r="HO253" s="179"/>
      <c r="HP253" s="179"/>
      <c r="HQ253" s="179"/>
      <c r="HR253" s="179"/>
      <c r="HS253" s="179"/>
      <c r="HT253" s="179"/>
      <c r="HU253" s="179"/>
      <c r="HV253" s="179"/>
      <c r="HW253" s="179"/>
      <c r="HX253" s="179"/>
      <c r="HY253" s="179"/>
      <c r="HZ253" s="179"/>
      <c r="IA253" s="179"/>
      <c r="IB253" s="179"/>
      <c r="IC253" s="179"/>
      <c r="ID253" s="179"/>
      <c r="IE253" s="179"/>
      <c r="IF253" s="179"/>
      <c r="IG253" s="179"/>
      <c r="IH253" s="179"/>
      <c r="II253" s="179"/>
      <c r="IJ253" s="179"/>
      <c r="IK253" s="179"/>
      <c r="IL253" s="179"/>
      <c r="IM253" s="179"/>
      <c r="IN253" s="179"/>
      <c r="IO253" s="179"/>
      <c r="IP253" s="179"/>
      <c r="IQ253" s="179"/>
      <c r="IR253" s="179"/>
    </row>
    <row r="255" spans="1:252">
      <c r="A255" s="321" t="s">
        <v>519</v>
      </c>
      <c r="B255">
        <f>5.94*B229*12</f>
        <v>179233.56</v>
      </c>
    </row>
    <row r="256" spans="1:252">
      <c r="B256" s="276">
        <f>B238+B255</f>
        <v>724594.67195965932</v>
      </c>
    </row>
    <row r="257" spans="2:2">
      <c r="B257">
        <f>B256/B238</f>
        <v>1.32865115621456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312"/>
  <sheetViews>
    <sheetView topLeftCell="A280" workbookViewId="0">
      <selection activeCell="A284" sqref="A284:B308"/>
    </sheetView>
  </sheetViews>
  <sheetFormatPr defaultRowHeight="15"/>
  <cols>
    <col min="1" max="1" width="71.7109375" customWidth="1"/>
    <col min="2" max="2" width="12.85546875" customWidth="1"/>
  </cols>
  <sheetData>
    <row r="1" spans="1:2" ht="15.75">
      <c r="A1" s="701" t="s">
        <v>230</v>
      </c>
      <c r="B1" s="701"/>
    </row>
    <row r="2" spans="1:2" ht="15.75">
      <c r="A2" s="702" t="s">
        <v>1578</v>
      </c>
      <c r="B2" s="702"/>
    </row>
    <row r="3" spans="1:2" s="55" customFormat="1" ht="15.75">
      <c r="A3" s="702" t="s">
        <v>2026</v>
      </c>
      <c r="B3" s="702"/>
    </row>
    <row r="4" spans="1:2" s="55" customFormat="1" ht="15.75">
      <c r="A4" s="96"/>
      <c r="B4" s="86"/>
    </row>
    <row r="5" spans="1:2" ht="46.5" customHeight="1">
      <c r="A5" s="222" t="s">
        <v>229</v>
      </c>
      <c r="B5" s="82" t="s">
        <v>523</v>
      </c>
    </row>
    <row r="6" spans="1:2" s="73" customFormat="1">
      <c r="A6" s="224" t="s">
        <v>229</v>
      </c>
      <c r="B6" s="72"/>
    </row>
    <row r="7" spans="1:2" s="73" customFormat="1">
      <c r="A7" s="191" t="s">
        <v>0</v>
      </c>
      <c r="B7" s="72"/>
    </row>
    <row r="8" spans="1:2" s="73" customFormat="1" ht="15.75" thickBot="1">
      <c r="A8" s="534" t="s">
        <v>29</v>
      </c>
      <c r="B8" s="72"/>
    </row>
    <row r="9" spans="1:2" s="73" customFormat="1" ht="15.75" thickBot="1">
      <c r="A9" s="537" t="s">
        <v>56</v>
      </c>
      <c r="B9" s="72"/>
    </row>
    <row r="10" spans="1:2" s="73" customFormat="1" ht="15.75" thickBot="1">
      <c r="A10" s="532" t="s">
        <v>57</v>
      </c>
      <c r="B10" s="72"/>
    </row>
    <row r="11" spans="1:2" s="73" customFormat="1" ht="43.5" thickBot="1">
      <c r="A11" s="540" t="s">
        <v>2028</v>
      </c>
      <c r="B11" s="72">
        <v>2</v>
      </c>
    </row>
    <row r="12" spans="1:2" s="73" customFormat="1">
      <c r="A12" s="535" t="s">
        <v>2050</v>
      </c>
      <c r="B12" s="72">
        <v>1</v>
      </c>
    </row>
    <row r="13" spans="1:2" s="73" customFormat="1" ht="28.5">
      <c r="A13" s="535" t="s">
        <v>2075</v>
      </c>
      <c r="B13" s="72">
        <v>1.5</v>
      </c>
    </row>
    <row r="14" spans="1:2" s="73" customFormat="1" ht="27.75" customHeight="1">
      <c r="A14" s="535" t="s">
        <v>2065</v>
      </c>
      <c r="B14" s="72">
        <v>1.5</v>
      </c>
    </row>
    <row r="15" spans="1:2" s="73" customFormat="1" ht="28.5" customHeight="1">
      <c r="A15" s="94" t="s">
        <v>2066</v>
      </c>
      <c r="B15" s="72">
        <v>1.5</v>
      </c>
    </row>
    <row r="16" spans="1:2" s="73" customFormat="1">
      <c r="A16" s="72" t="s">
        <v>2067</v>
      </c>
      <c r="B16" s="72">
        <v>3</v>
      </c>
    </row>
    <row r="17" spans="1:2" s="73" customFormat="1">
      <c r="A17" s="72" t="s">
        <v>2098</v>
      </c>
      <c r="B17" s="72">
        <v>1.5</v>
      </c>
    </row>
    <row r="18" spans="1:2" s="73" customFormat="1" ht="29.25" customHeight="1">
      <c r="A18" s="535" t="s">
        <v>2093</v>
      </c>
      <c r="B18" s="72">
        <v>4</v>
      </c>
    </row>
    <row r="19" spans="1:2" s="73" customFormat="1" ht="21.75" customHeight="1">
      <c r="A19" s="535" t="s">
        <v>2116</v>
      </c>
      <c r="B19" s="72">
        <v>6</v>
      </c>
    </row>
    <row r="20" spans="1:2" s="73" customFormat="1" ht="21.75" customHeight="1">
      <c r="A20" s="535" t="s">
        <v>2152</v>
      </c>
      <c r="B20" s="72">
        <v>6</v>
      </c>
    </row>
    <row r="21" spans="1:2" s="73" customFormat="1" ht="42.75">
      <c r="A21" s="535" t="s">
        <v>2151</v>
      </c>
      <c r="B21" s="72">
        <v>4</v>
      </c>
    </row>
    <row r="22" spans="1:2" s="73" customFormat="1" ht="30.75" customHeight="1">
      <c r="A22" s="536" t="s">
        <v>2163</v>
      </c>
      <c r="B22" s="72">
        <v>1</v>
      </c>
    </row>
    <row r="23" spans="1:2" s="73" customFormat="1">
      <c r="A23" s="536" t="s">
        <v>2164</v>
      </c>
      <c r="B23" s="72">
        <v>16</v>
      </c>
    </row>
    <row r="24" spans="1:2" s="73" customFormat="1" ht="29.25" customHeight="1">
      <c r="A24" s="536" t="s">
        <v>2180</v>
      </c>
      <c r="B24" s="72">
        <v>12</v>
      </c>
    </row>
    <row r="25" spans="1:2" s="73" customFormat="1" ht="19.5" customHeight="1">
      <c r="A25" s="535" t="s">
        <v>2181</v>
      </c>
      <c r="B25" s="72">
        <v>3</v>
      </c>
    </row>
    <row r="26" spans="1:2" s="73" customFormat="1" ht="28.5">
      <c r="A26" s="535" t="s">
        <v>2182</v>
      </c>
      <c r="B26" s="72">
        <v>5</v>
      </c>
    </row>
    <row r="27" spans="1:2" s="73" customFormat="1" ht="15" customHeight="1">
      <c r="A27" s="545" t="s">
        <v>2200</v>
      </c>
      <c r="B27" s="72">
        <v>2</v>
      </c>
    </row>
    <row r="28" spans="1:2" s="73" customFormat="1" ht="28.5">
      <c r="A28" s="545" t="s">
        <v>2201</v>
      </c>
      <c r="B28" s="72">
        <v>4</v>
      </c>
    </row>
    <row r="29" spans="1:2" s="73" customFormat="1" ht="42.75">
      <c r="A29" s="548" t="s">
        <v>2230</v>
      </c>
      <c r="B29" s="72">
        <v>2</v>
      </c>
    </row>
    <row r="30" spans="1:2" s="73" customFormat="1" ht="28.5">
      <c r="A30" s="548" t="s">
        <v>2231</v>
      </c>
      <c r="B30" s="72">
        <v>6</v>
      </c>
    </row>
    <row r="31" spans="1:2" s="73" customFormat="1" ht="28.5">
      <c r="A31" s="561" t="s">
        <v>2256</v>
      </c>
      <c r="B31" s="72">
        <v>2</v>
      </c>
    </row>
    <row r="32" spans="1:2" s="73" customFormat="1" ht="28.5">
      <c r="A32" s="562" t="s">
        <v>2257</v>
      </c>
      <c r="B32" s="72">
        <v>4</v>
      </c>
    </row>
    <row r="33" spans="1:2" s="73" customFormat="1" ht="28.5">
      <c r="A33" s="562" t="s">
        <v>2258</v>
      </c>
      <c r="B33" s="72">
        <v>4</v>
      </c>
    </row>
    <row r="34" spans="1:2" s="73" customFormat="1">
      <c r="A34" s="533" t="s">
        <v>66</v>
      </c>
      <c r="B34" s="72"/>
    </row>
    <row r="35" spans="1:2" s="73" customFormat="1">
      <c r="A35" s="151" t="s">
        <v>2029</v>
      </c>
      <c r="B35" s="72">
        <v>2</v>
      </c>
    </row>
    <row r="36" spans="1:2" s="73" customFormat="1">
      <c r="A36" s="128" t="s">
        <v>2030</v>
      </c>
      <c r="B36" s="72">
        <v>2</v>
      </c>
    </row>
    <row r="37" spans="1:2" s="73" customFormat="1" ht="28.5">
      <c r="A37" s="400" t="s">
        <v>2436</v>
      </c>
      <c r="B37" s="72">
        <v>1</v>
      </c>
    </row>
    <row r="38" spans="1:2" s="73" customFormat="1" ht="28.5">
      <c r="A38" s="97" t="s">
        <v>2052</v>
      </c>
      <c r="B38" s="72">
        <v>3</v>
      </c>
    </row>
    <row r="39" spans="1:2" s="73" customFormat="1" ht="32.25" customHeight="1">
      <c r="A39" s="97" t="s">
        <v>2068</v>
      </c>
      <c r="B39" s="72">
        <v>1.5</v>
      </c>
    </row>
    <row r="40" spans="1:2" s="73" customFormat="1" ht="42.75">
      <c r="A40" s="152" t="s">
        <v>2069</v>
      </c>
      <c r="B40" s="72">
        <v>15</v>
      </c>
    </row>
    <row r="41" spans="1:2" s="73" customFormat="1" ht="34.5" customHeight="1">
      <c r="A41" s="97" t="s">
        <v>2070</v>
      </c>
      <c r="B41" s="72">
        <v>2</v>
      </c>
    </row>
    <row r="42" spans="1:2" s="73" customFormat="1" ht="33" customHeight="1">
      <c r="A42" s="97" t="s">
        <v>2071</v>
      </c>
      <c r="B42" s="72">
        <v>1</v>
      </c>
    </row>
    <row r="43" spans="1:2" s="73" customFormat="1" ht="33" customHeight="1">
      <c r="A43" s="97" t="s">
        <v>2072</v>
      </c>
      <c r="B43" s="72">
        <v>3</v>
      </c>
    </row>
    <row r="44" spans="1:2" s="73" customFormat="1" ht="28.5">
      <c r="A44" s="97" t="s">
        <v>2073</v>
      </c>
      <c r="B44" s="72">
        <v>2</v>
      </c>
    </row>
    <row r="45" spans="1:2" s="73" customFormat="1">
      <c r="A45" s="535" t="s">
        <v>2094</v>
      </c>
      <c r="B45" s="72">
        <v>2</v>
      </c>
    </row>
    <row r="46" spans="1:2" s="73" customFormat="1" ht="42.75">
      <c r="A46" s="97" t="s">
        <v>2095</v>
      </c>
      <c r="B46" s="72">
        <v>1.5</v>
      </c>
    </row>
    <row r="47" spans="1:2" s="73" customFormat="1" ht="28.5">
      <c r="A47" s="97" t="s">
        <v>2096</v>
      </c>
      <c r="B47" s="72">
        <v>3</v>
      </c>
    </row>
    <row r="48" spans="1:2" s="73" customFormat="1">
      <c r="A48" s="84" t="s">
        <v>2117</v>
      </c>
      <c r="B48" s="72">
        <v>1.5</v>
      </c>
    </row>
    <row r="49" spans="1:2" s="73" customFormat="1" ht="28.5">
      <c r="A49" s="97" t="s">
        <v>2135</v>
      </c>
      <c r="B49" s="72">
        <v>1.5</v>
      </c>
    </row>
    <row r="50" spans="1:2" s="73" customFormat="1" ht="42.75">
      <c r="A50" s="535" t="s">
        <v>2136</v>
      </c>
      <c r="B50" s="72">
        <v>48</v>
      </c>
    </row>
    <row r="51" spans="1:2" s="73" customFormat="1" ht="28.5">
      <c r="A51" s="97" t="s">
        <v>2153</v>
      </c>
      <c r="B51" s="72">
        <v>8</v>
      </c>
    </row>
    <row r="52" spans="1:2" s="73" customFormat="1" ht="28.5">
      <c r="A52" s="97" t="s">
        <v>2154</v>
      </c>
      <c r="B52" s="72">
        <v>4</v>
      </c>
    </row>
    <row r="53" spans="1:2" s="73" customFormat="1" ht="33" customHeight="1">
      <c r="A53" s="97" t="s">
        <v>2183</v>
      </c>
      <c r="B53" s="72">
        <v>10</v>
      </c>
    </row>
    <row r="54" spans="1:2" s="73" customFormat="1" ht="15" customHeight="1">
      <c r="A54" s="84" t="s">
        <v>2184</v>
      </c>
      <c r="B54" s="72">
        <v>4</v>
      </c>
    </row>
    <row r="55" spans="1:2" s="73" customFormat="1" ht="15" customHeight="1">
      <c r="A55" s="84" t="s">
        <v>2185</v>
      </c>
      <c r="B55" s="72">
        <v>5</v>
      </c>
    </row>
    <row r="56" spans="1:2" s="73" customFormat="1">
      <c r="A56" s="97" t="s">
        <v>2186</v>
      </c>
      <c r="B56" s="72">
        <v>4</v>
      </c>
    </row>
    <row r="57" spans="1:2" s="73" customFormat="1" ht="36" customHeight="1">
      <c r="A57" s="152" t="s">
        <v>2187</v>
      </c>
      <c r="B57" s="72">
        <v>2</v>
      </c>
    </row>
    <row r="58" spans="1:2" s="73" customFormat="1" ht="33.75" customHeight="1">
      <c r="A58" s="155" t="s">
        <v>2188</v>
      </c>
      <c r="B58" s="72">
        <v>3</v>
      </c>
    </row>
    <row r="59" spans="1:2" s="73" customFormat="1" ht="33.75" customHeight="1">
      <c r="A59" s="152" t="s">
        <v>2202</v>
      </c>
      <c r="B59" s="72">
        <v>2</v>
      </c>
    </row>
    <row r="60" spans="1:2" s="73" customFormat="1" ht="28.5">
      <c r="A60" s="400" t="s">
        <v>2232</v>
      </c>
      <c r="B60" s="549">
        <v>2</v>
      </c>
    </row>
    <row r="61" spans="1:2" s="73" customFormat="1" ht="28.5">
      <c r="A61" s="400" t="s">
        <v>2233</v>
      </c>
      <c r="B61" s="549">
        <v>3</v>
      </c>
    </row>
    <row r="62" spans="1:2" s="73" customFormat="1" ht="15" customHeight="1">
      <c r="A62" s="84" t="s">
        <v>2259</v>
      </c>
      <c r="B62" s="72">
        <v>2</v>
      </c>
    </row>
    <row r="63" spans="1:2" s="73" customFormat="1" ht="28.5">
      <c r="A63" s="97" t="s">
        <v>2260</v>
      </c>
      <c r="B63" s="72">
        <v>4</v>
      </c>
    </row>
    <row r="64" spans="1:2" s="73" customFormat="1">
      <c r="A64" s="534" t="s">
        <v>590</v>
      </c>
      <c r="B64" s="72"/>
    </row>
    <row r="65" spans="1:2" s="73" customFormat="1" ht="20.25" customHeight="1">
      <c r="A65" s="400" t="s">
        <v>2031</v>
      </c>
      <c r="B65" s="72">
        <v>6</v>
      </c>
    </row>
    <row r="66" spans="1:2" s="73" customFormat="1" ht="28.5">
      <c r="A66" s="400" t="s">
        <v>2032</v>
      </c>
      <c r="B66" s="72">
        <v>2</v>
      </c>
    </row>
    <row r="67" spans="1:2" s="73" customFormat="1" ht="28.5">
      <c r="A67" s="400" t="s">
        <v>2033</v>
      </c>
      <c r="B67" s="72">
        <v>2</v>
      </c>
    </row>
    <row r="68" spans="1:2" s="73" customFormat="1" ht="28.5">
      <c r="A68" s="400" t="s">
        <v>2034</v>
      </c>
      <c r="B68" s="72">
        <v>2</v>
      </c>
    </row>
    <row r="69" spans="1:2" s="73" customFormat="1" ht="28.5">
      <c r="A69" s="400" t="s">
        <v>2035</v>
      </c>
      <c r="B69" s="72">
        <v>0.5</v>
      </c>
    </row>
    <row r="70" spans="1:2" s="73" customFormat="1" ht="28.5">
      <c r="A70" s="226" t="s">
        <v>2036</v>
      </c>
      <c r="B70" s="72">
        <v>2</v>
      </c>
    </row>
    <row r="71" spans="1:2" s="73" customFormat="1" ht="28.5">
      <c r="A71" s="400" t="s">
        <v>2037</v>
      </c>
      <c r="B71" s="72">
        <v>2</v>
      </c>
    </row>
    <row r="72" spans="1:2" s="73" customFormat="1" ht="28.5">
      <c r="A72" s="400" t="s">
        <v>2051</v>
      </c>
      <c r="B72" s="72">
        <v>1</v>
      </c>
    </row>
    <row r="73" spans="1:2" s="73" customFormat="1" ht="28.5">
      <c r="A73" s="400" t="s">
        <v>2053</v>
      </c>
      <c r="B73" s="72">
        <v>2</v>
      </c>
    </row>
    <row r="74" spans="1:2" s="73" customFormat="1" ht="28.5">
      <c r="A74" s="400" t="s">
        <v>2054</v>
      </c>
      <c r="B74" s="72">
        <v>1</v>
      </c>
    </row>
    <row r="75" spans="1:2" s="73" customFormat="1" ht="25.5" customHeight="1">
      <c r="A75" s="400" t="s">
        <v>2055</v>
      </c>
      <c r="B75" s="72">
        <v>1.5</v>
      </c>
    </row>
    <row r="76" spans="1:2" s="73" customFormat="1" ht="28.5">
      <c r="A76" s="400" t="s">
        <v>2056</v>
      </c>
      <c r="B76" s="72">
        <v>1</v>
      </c>
    </row>
    <row r="77" spans="1:2" s="73" customFormat="1" ht="25.5" customHeight="1">
      <c r="A77" s="400" t="s">
        <v>2074</v>
      </c>
      <c r="B77" s="72">
        <v>1</v>
      </c>
    </row>
    <row r="78" spans="1:2" s="73" customFormat="1" ht="28.5">
      <c r="A78" s="400" t="s">
        <v>2076</v>
      </c>
      <c r="B78" s="72">
        <v>1</v>
      </c>
    </row>
    <row r="79" spans="1:2" s="73" customFormat="1">
      <c r="A79" s="400" t="s">
        <v>2077</v>
      </c>
      <c r="B79" s="72">
        <v>2</v>
      </c>
    </row>
    <row r="80" spans="1:2" s="73" customFormat="1" ht="42.75">
      <c r="A80" s="400" t="s">
        <v>2078</v>
      </c>
      <c r="B80" s="72">
        <v>2</v>
      </c>
    </row>
    <row r="81" spans="1:2" s="73" customFormat="1">
      <c r="A81" s="400" t="s">
        <v>2079</v>
      </c>
      <c r="B81" s="72">
        <v>1</v>
      </c>
    </row>
    <row r="82" spans="1:2" s="73" customFormat="1">
      <c r="A82" s="400" t="s">
        <v>2080</v>
      </c>
      <c r="B82" s="72">
        <v>2</v>
      </c>
    </row>
    <row r="83" spans="1:2" s="73" customFormat="1">
      <c r="A83" s="400" t="s">
        <v>2081</v>
      </c>
      <c r="B83" s="72">
        <v>2</v>
      </c>
    </row>
    <row r="84" spans="1:2" s="73" customFormat="1" ht="29.25" thickBot="1">
      <c r="A84" s="400" t="s">
        <v>2082</v>
      </c>
      <c r="B84" s="72">
        <v>1</v>
      </c>
    </row>
    <row r="85" spans="1:2" s="73" customFormat="1" ht="27.75" customHeight="1" thickBot="1">
      <c r="A85" s="539" t="s">
        <v>2083</v>
      </c>
      <c r="B85" s="72">
        <v>2</v>
      </c>
    </row>
    <row r="86" spans="1:2" s="73" customFormat="1" ht="28.5">
      <c r="A86" s="400" t="s">
        <v>2794</v>
      </c>
      <c r="B86" s="72">
        <v>1</v>
      </c>
    </row>
    <row r="87" spans="1:2" s="73" customFormat="1" ht="28.5">
      <c r="A87" s="527" t="s">
        <v>2084</v>
      </c>
      <c r="B87" s="72">
        <v>2</v>
      </c>
    </row>
    <row r="88" spans="1:2" s="73" customFormat="1" ht="28.5">
      <c r="A88" s="527" t="s">
        <v>2097</v>
      </c>
      <c r="B88" s="72">
        <v>12</v>
      </c>
    </row>
    <row r="89" spans="1:2" s="73" customFormat="1" ht="28.5">
      <c r="A89" s="527" t="s">
        <v>2107</v>
      </c>
      <c r="B89" s="72">
        <v>5</v>
      </c>
    </row>
    <row r="90" spans="1:2" s="73" customFormat="1" ht="28.5">
      <c r="A90" s="400" t="s">
        <v>2099</v>
      </c>
      <c r="B90" s="72">
        <v>8</v>
      </c>
    </row>
    <row r="91" spans="1:2" s="73" customFormat="1">
      <c r="A91" s="400" t="s">
        <v>2100</v>
      </c>
      <c r="B91" s="72">
        <v>2</v>
      </c>
    </row>
    <row r="92" spans="1:2" s="73" customFormat="1" ht="28.5">
      <c r="A92" s="400" t="s">
        <v>2101</v>
      </c>
      <c r="B92" s="72">
        <v>1</v>
      </c>
    </row>
    <row r="93" spans="1:2" s="73" customFormat="1" ht="28.5">
      <c r="A93" s="267" t="s">
        <v>2102</v>
      </c>
      <c r="B93" s="72">
        <v>1</v>
      </c>
    </row>
    <row r="94" spans="1:2" s="73" customFormat="1" ht="28.5">
      <c r="A94" s="400" t="s">
        <v>2104</v>
      </c>
      <c r="B94" s="72">
        <v>1.5</v>
      </c>
    </row>
    <row r="95" spans="1:2" s="73" customFormat="1" ht="28.5">
      <c r="A95" s="400" t="s">
        <v>2105</v>
      </c>
      <c r="B95" s="72">
        <v>1</v>
      </c>
    </row>
    <row r="96" spans="1:2" s="73" customFormat="1" ht="28.5">
      <c r="A96" s="400" t="s">
        <v>2106</v>
      </c>
      <c r="B96" s="72">
        <v>1.5</v>
      </c>
    </row>
    <row r="97" spans="1:2" s="73" customFormat="1" ht="28.5">
      <c r="A97" s="400" t="s">
        <v>2118</v>
      </c>
      <c r="B97" s="72">
        <v>1.5</v>
      </c>
    </row>
    <row r="98" spans="1:2" s="73" customFormat="1" ht="30" customHeight="1">
      <c r="A98" s="527" t="s">
        <v>2119</v>
      </c>
      <c r="B98" s="72">
        <v>1</v>
      </c>
    </row>
    <row r="99" spans="1:2" s="73" customFormat="1" ht="28.5">
      <c r="A99" s="450" t="s">
        <v>2120</v>
      </c>
      <c r="B99" s="72">
        <v>2</v>
      </c>
    </row>
    <row r="100" spans="1:2" s="73" customFormat="1" ht="33.75" customHeight="1">
      <c r="A100" s="527" t="s">
        <v>2121</v>
      </c>
      <c r="B100" s="72">
        <v>2</v>
      </c>
    </row>
    <row r="101" spans="1:2" s="73" customFormat="1" ht="33" customHeight="1">
      <c r="A101" s="527" t="s">
        <v>2122</v>
      </c>
      <c r="B101" s="72">
        <v>1.5</v>
      </c>
    </row>
    <row r="102" spans="1:2" s="73" customFormat="1" ht="32.25" customHeight="1">
      <c r="A102" s="527" t="s">
        <v>2123</v>
      </c>
      <c r="B102" s="72">
        <v>6</v>
      </c>
    </row>
    <row r="103" spans="1:2" s="73" customFormat="1" ht="15" customHeight="1">
      <c r="A103" s="527" t="s">
        <v>2124</v>
      </c>
      <c r="B103" s="72">
        <v>6</v>
      </c>
    </row>
    <row r="104" spans="1:2" s="73" customFormat="1" ht="15" customHeight="1">
      <c r="A104" s="528" t="s">
        <v>2125</v>
      </c>
      <c r="B104" s="72">
        <v>1.5</v>
      </c>
    </row>
    <row r="105" spans="1:2" s="73" customFormat="1" ht="30.75" customHeight="1">
      <c r="A105" s="528" t="s">
        <v>2126</v>
      </c>
      <c r="B105" s="72">
        <v>2</v>
      </c>
    </row>
    <row r="106" spans="1:2" s="73" customFormat="1" ht="15" customHeight="1">
      <c r="A106" s="527" t="s">
        <v>2127</v>
      </c>
      <c r="B106" s="72">
        <v>2</v>
      </c>
    </row>
    <row r="107" spans="1:2" s="73" customFormat="1" ht="30" customHeight="1">
      <c r="A107" s="527" t="s">
        <v>2137</v>
      </c>
      <c r="B107" s="72">
        <v>2</v>
      </c>
    </row>
    <row r="108" spans="1:2" s="73" customFormat="1" ht="35.25" customHeight="1">
      <c r="A108" s="527" t="s">
        <v>2138</v>
      </c>
      <c r="B108" s="72">
        <v>1</v>
      </c>
    </row>
    <row r="109" spans="1:2" s="73" customFormat="1" ht="15" customHeight="1">
      <c r="A109" s="527" t="s">
        <v>2139</v>
      </c>
      <c r="B109" s="72">
        <v>6</v>
      </c>
    </row>
    <row r="110" spans="1:2" s="73" customFormat="1" ht="30" customHeight="1">
      <c r="A110" s="527" t="s">
        <v>2140</v>
      </c>
      <c r="B110" s="72">
        <v>1</v>
      </c>
    </row>
    <row r="111" spans="1:2" s="73" customFormat="1" ht="15" customHeight="1">
      <c r="A111" s="527" t="s">
        <v>2141</v>
      </c>
      <c r="B111" s="72">
        <v>1</v>
      </c>
    </row>
    <row r="112" spans="1:2" s="73" customFormat="1" ht="33" customHeight="1">
      <c r="A112" s="527" t="s">
        <v>2142</v>
      </c>
      <c r="B112" s="72">
        <v>1</v>
      </c>
    </row>
    <row r="113" spans="1:2" s="73" customFormat="1" ht="15" customHeight="1">
      <c r="A113" s="527" t="s">
        <v>2143</v>
      </c>
      <c r="B113" s="72">
        <v>0.5</v>
      </c>
    </row>
    <row r="114" spans="1:2" s="73" customFormat="1" ht="35.25" customHeight="1">
      <c r="A114" s="527" t="s">
        <v>2144</v>
      </c>
      <c r="B114" s="72">
        <v>2</v>
      </c>
    </row>
    <row r="115" spans="1:2" s="73" customFormat="1" ht="30" customHeight="1">
      <c r="A115" s="527" t="s">
        <v>2145</v>
      </c>
      <c r="B115" s="72">
        <v>3</v>
      </c>
    </row>
    <row r="116" spans="1:2" s="73" customFormat="1" ht="31.5" customHeight="1">
      <c r="A116" s="527" t="s">
        <v>2146</v>
      </c>
      <c r="B116" s="72">
        <v>2</v>
      </c>
    </row>
    <row r="117" spans="1:2" s="73" customFormat="1" ht="15" customHeight="1">
      <c r="A117" s="527" t="s">
        <v>2155</v>
      </c>
      <c r="B117" s="72">
        <v>12</v>
      </c>
    </row>
    <row r="118" spans="1:2" s="73" customFormat="1" ht="33.75" customHeight="1">
      <c r="A118" s="527" t="s">
        <v>2156</v>
      </c>
      <c r="B118" s="72">
        <v>1</v>
      </c>
    </row>
    <row r="119" spans="1:2" s="73" customFormat="1" ht="33.75" customHeight="1">
      <c r="A119" s="210" t="s">
        <v>2157</v>
      </c>
      <c r="B119" s="72">
        <v>3</v>
      </c>
    </row>
    <row r="120" spans="1:2" s="73" customFormat="1" ht="15" customHeight="1">
      <c r="A120" s="84" t="s">
        <v>2158</v>
      </c>
      <c r="B120" s="72">
        <v>1</v>
      </c>
    </row>
    <row r="121" spans="1:2" s="73" customFormat="1" ht="33" customHeight="1">
      <c r="A121" s="97" t="s">
        <v>2159</v>
      </c>
      <c r="B121" s="72">
        <v>2</v>
      </c>
    </row>
    <row r="122" spans="1:2" s="73" customFormat="1" ht="34.5" customHeight="1">
      <c r="A122" s="97" t="s">
        <v>2160</v>
      </c>
      <c r="B122" s="72">
        <v>3</v>
      </c>
    </row>
    <row r="123" spans="1:2" s="73" customFormat="1" ht="33" customHeight="1">
      <c r="A123" s="97" t="s">
        <v>2161</v>
      </c>
      <c r="B123" s="72">
        <v>3</v>
      </c>
    </row>
    <row r="124" spans="1:2" s="73" customFormat="1" ht="36" customHeight="1">
      <c r="A124" s="527" t="s">
        <v>2165</v>
      </c>
      <c r="B124" s="72">
        <v>16</v>
      </c>
    </row>
    <row r="125" spans="1:2" s="73" customFormat="1" ht="36" customHeight="1">
      <c r="A125" s="527" t="s">
        <v>2167</v>
      </c>
      <c r="B125" s="72">
        <v>2</v>
      </c>
    </row>
    <row r="126" spans="1:2" s="73" customFormat="1" ht="27.75" customHeight="1">
      <c r="A126" s="527" t="s">
        <v>2166</v>
      </c>
      <c r="B126" s="72">
        <v>1</v>
      </c>
    </row>
    <row r="127" spans="1:2" s="73" customFormat="1" ht="15" customHeight="1">
      <c r="A127" s="84" t="s">
        <v>2168</v>
      </c>
      <c r="B127" s="72">
        <v>2</v>
      </c>
    </row>
    <row r="128" spans="1:2" s="73" customFormat="1" ht="33.75" customHeight="1">
      <c r="A128" s="97" t="s">
        <v>2169</v>
      </c>
      <c r="B128" s="72">
        <v>2</v>
      </c>
    </row>
    <row r="129" spans="1:2" s="73" customFormat="1" ht="29.25" customHeight="1">
      <c r="A129" s="97" t="s">
        <v>2170</v>
      </c>
      <c r="B129" s="72">
        <v>8</v>
      </c>
    </row>
    <row r="130" spans="1:2" s="73" customFormat="1" ht="15" customHeight="1">
      <c r="A130" s="527" t="s">
        <v>2171</v>
      </c>
      <c r="B130" s="72">
        <v>1</v>
      </c>
    </row>
    <row r="131" spans="1:2" s="73" customFormat="1" ht="36" customHeight="1">
      <c r="A131" s="527" t="s">
        <v>2189</v>
      </c>
      <c r="B131" s="72">
        <v>4</v>
      </c>
    </row>
    <row r="132" spans="1:2" s="73" customFormat="1" ht="31.5" customHeight="1">
      <c r="A132" s="527" t="s">
        <v>2190</v>
      </c>
      <c r="B132" s="72">
        <v>2</v>
      </c>
    </row>
    <row r="133" spans="1:2" s="73" customFormat="1" ht="15" customHeight="1">
      <c r="A133" s="84" t="s">
        <v>2191</v>
      </c>
      <c r="B133" s="72">
        <v>3</v>
      </c>
    </row>
    <row r="134" spans="1:2" s="73" customFormat="1" ht="23.25" customHeight="1">
      <c r="A134" s="527" t="s">
        <v>2192</v>
      </c>
      <c r="B134" s="72">
        <v>5</v>
      </c>
    </row>
    <row r="135" spans="1:2" s="73" customFormat="1" ht="32.25" customHeight="1">
      <c r="A135" s="543" t="s">
        <v>2203</v>
      </c>
      <c r="B135" s="72">
        <v>1</v>
      </c>
    </row>
    <row r="136" spans="1:2" s="73" customFormat="1" ht="30.75" customHeight="1">
      <c r="A136" s="543" t="s">
        <v>2204</v>
      </c>
      <c r="B136" s="72">
        <v>4</v>
      </c>
    </row>
    <row r="137" spans="1:2" s="73" customFormat="1" ht="36" customHeight="1">
      <c r="A137" s="546" t="s">
        <v>2205</v>
      </c>
      <c r="B137" s="72">
        <v>2</v>
      </c>
    </row>
    <row r="138" spans="1:2" s="73" customFormat="1" ht="30" customHeight="1">
      <c r="A138" s="654" t="s">
        <v>3760</v>
      </c>
      <c r="B138" s="72">
        <v>1</v>
      </c>
    </row>
    <row r="139" spans="1:2" s="73" customFormat="1">
      <c r="A139" s="544" t="s">
        <v>2206</v>
      </c>
      <c r="B139" s="72">
        <v>8</v>
      </c>
    </row>
    <row r="140" spans="1:2" s="73" customFormat="1" ht="28.5">
      <c r="A140" s="546" t="s">
        <v>2207</v>
      </c>
      <c r="B140" s="72">
        <v>2</v>
      </c>
    </row>
    <row r="141" spans="1:2" s="73" customFormat="1" ht="29.25" customHeight="1">
      <c r="A141" s="543" t="s">
        <v>2208</v>
      </c>
      <c r="B141" s="72">
        <v>3</v>
      </c>
    </row>
    <row r="142" spans="1:2" s="73" customFormat="1" ht="30" customHeight="1">
      <c r="A142" s="543" t="s">
        <v>2209</v>
      </c>
      <c r="B142" s="72">
        <v>2</v>
      </c>
    </row>
    <row r="143" spans="1:2" s="73" customFormat="1" ht="18.75" customHeight="1">
      <c r="A143" s="543" t="s">
        <v>2210</v>
      </c>
      <c r="B143" s="72">
        <v>3</v>
      </c>
    </row>
    <row r="144" spans="1:2" s="73" customFormat="1" ht="33.75" customHeight="1">
      <c r="A144" s="546" t="s">
        <v>2211</v>
      </c>
      <c r="B144" s="72">
        <v>2</v>
      </c>
    </row>
    <row r="145" spans="1:2" s="73" customFormat="1" ht="30" customHeight="1">
      <c r="A145" s="544" t="s">
        <v>2212</v>
      </c>
      <c r="B145" s="72">
        <v>2</v>
      </c>
    </row>
    <row r="146" spans="1:2" s="73" customFormat="1" ht="28.5">
      <c r="A146" s="546" t="s">
        <v>2213</v>
      </c>
      <c r="B146" s="72">
        <v>2</v>
      </c>
    </row>
    <row r="147" spans="1:2" s="73" customFormat="1" ht="28.5">
      <c r="A147" s="546" t="s">
        <v>2214</v>
      </c>
      <c r="B147" s="72">
        <v>2</v>
      </c>
    </row>
    <row r="148" spans="1:2" s="73" customFormat="1" ht="34.5" customHeight="1">
      <c r="A148" s="546" t="s">
        <v>2215</v>
      </c>
      <c r="B148" s="72">
        <v>3</v>
      </c>
    </row>
    <row r="149" spans="1:2" s="73" customFormat="1" ht="28.5">
      <c r="A149" s="546" t="s">
        <v>2216</v>
      </c>
      <c r="B149" s="72">
        <v>2</v>
      </c>
    </row>
    <row r="150" spans="1:2" s="73" customFormat="1" ht="28.5">
      <c r="A150" s="546" t="s">
        <v>2217</v>
      </c>
      <c r="B150" s="123">
        <v>4</v>
      </c>
    </row>
    <row r="151" spans="1:2" ht="30">
      <c r="A151" s="142" t="s">
        <v>2234</v>
      </c>
      <c r="B151" s="127">
        <v>1</v>
      </c>
    </row>
    <row r="152" spans="1:2" ht="30">
      <c r="A152" s="142" t="s">
        <v>2235</v>
      </c>
      <c r="B152" s="127">
        <v>3</v>
      </c>
    </row>
    <row r="153" spans="1:2" s="73" customFormat="1" ht="28.5">
      <c r="A153" s="548" t="s">
        <v>2236</v>
      </c>
      <c r="B153" s="72">
        <v>2</v>
      </c>
    </row>
    <row r="154" spans="1:2" s="73" customFormat="1" ht="28.5">
      <c r="A154" s="548" t="s">
        <v>2237</v>
      </c>
      <c r="B154" s="72">
        <v>2</v>
      </c>
    </row>
    <row r="155" spans="1:2" s="73" customFormat="1" ht="22.5" customHeight="1">
      <c r="A155" s="548" t="s">
        <v>2238</v>
      </c>
      <c r="B155" s="72">
        <v>1</v>
      </c>
    </row>
    <row r="156" spans="1:2" s="73" customFormat="1" ht="28.5">
      <c r="A156" s="548" t="s">
        <v>2239</v>
      </c>
      <c r="B156" s="72">
        <v>1</v>
      </c>
    </row>
    <row r="157" spans="1:2" s="73" customFormat="1" ht="28.5">
      <c r="A157" s="548" t="s">
        <v>2240</v>
      </c>
      <c r="B157" s="72">
        <v>2</v>
      </c>
    </row>
    <row r="158" spans="1:2" s="73" customFormat="1" ht="28.5">
      <c r="A158" s="548" t="s">
        <v>2241</v>
      </c>
      <c r="B158" s="72">
        <v>1</v>
      </c>
    </row>
    <row r="159" spans="1:2" s="73" customFormat="1" ht="28.5">
      <c r="A159" s="548" t="s">
        <v>2242</v>
      </c>
      <c r="B159" s="72">
        <v>2</v>
      </c>
    </row>
    <row r="160" spans="1:2" s="73" customFormat="1" ht="28.5">
      <c r="A160" s="548" t="s">
        <v>2243</v>
      </c>
      <c r="B160" s="72">
        <v>1</v>
      </c>
    </row>
    <row r="161" spans="1:2" s="73" customFormat="1" ht="28.5">
      <c r="A161" s="551" t="s">
        <v>2244</v>
      </c>
      <c r="B161" s="72">
        <v>1</v>
      </c>
    </row>
    <row r="162" spans="1:2" s="73" customFormat="1" ht="28.5">
      <c r="A162" s="564" t="s">
        <v>2261</v>
      </c>
      <c r="B162" s="72">
        <v>2</v>
      </c>
    </row>
    <row r="163" spans="1:2" s="73" customFormat="1" ht="28.5">
      <c r="A163" s="564" t="s">
        <v>2262</v>
      </c>
      <c r="B163" s="72">
        <v>3</v>
      </c>
    </row>
    <row r="164" spans="1:2" s="73" customFormat="1" ht="28.5">
      <c r="A164" s="564" t="s">
        <v>2263</v>
      </c>
      <c r="B164" s="72">
        <v>1</v>
      </c>
    </row>
    <row r="165" spans="1:2" s="73" customFormat="1">
      <c r="A165" s="564" t="s">
        <v>2264</v>
      </c>
      <c r="B165" s="72">
        <v>2</v>
      </c>
    </row>
    <row r="166" spans="1:2" s="73" customFormat="1">
      <c r="A166" s="564" t="s">
        <v>2265</v>
      </c>
      <c r="B166" s="72">
        <v>1</v>
      </c>
    </row>
    <row r="167" spans="1:2" s="73" customFormat="1">
      <c r="A167" s="564" t="s">
        <v>2266</v>
      </c>
      <c r="B167" s="72">
        <v>1</v>
      </c>
    </row>
    <row r="168" spans="1:2" s="73" customFormat="1">
      <c r="A168" s="564" t="s">
        <v>2267</v>
      </c>
      <c r="B168" s="72">
        <v>4</v>
      </c>
    </row>
    <row r="169" spans="1:2" s="73" customFormat="1" ht="28.5">
      <c r="A169" s="564" t="s">
        <v>2268</v>
      </c>
      <c r="B169" s="72">
        <v>4</v>
      </c>
    </row>
    <row r="170" spans="1:2" s="73" customFormat="1" ht="28.5">
      <c r="A170" s="564" t="s">
        <v>2269</v>
      </c>
      <c r="B170" s="72">
        <v>1</v>
      </c>
    </row>
    <row r="171" spans="1:2" s="73" customFormat="1" ht="28.5">
      <c r="A171" s="564" t="s">
        <v>2270</v>
      </c>
      <c r="B171" s="72">
        <v>1</v>
      </c>
    </row>
    <row r="172" spans="1:2" s="73" customFormat="1">
      <c r="A172" s="564" t="s">
        <v>2271</v>
      </c>
      <c r="B172" s="72">
        <v>1</v>
      </c>
    </row>
    <row r="173" spans="1:2" s="73" customFormat="1">
      <c r="A173" s="564" t="s">
        <v>2272</v>
      </c>
      <c r="B173" s="72">
        <v>2</v>
      </c>
    </row>
    <row r="174" spans="1:2" s="73" customFormat="1">
      <c r="A174" s="564" t="s">
        <v>2273</v>
      </c>
      <c r="B174" s="72">
        <v>4</v>
      </c>
    </row>
    <row r="175" spans="1:2" s="73" customFormat="1">
      <c r="A175" s="564" t="s">
        <v>2274</v>
      </c>
      <c r="B175" s="72">
        <v>1</v>
      </c>
    </row>
    <row r="176" spans="1:2" s="73" customFormat="1">
      <c r="A176" s="400" t="s">
        <v>2278</v>
      </c>
      <c r="B176" s="549">
        <v>0.5</v>
      </c>
    </row>
    <row r="177" spans="1:2" s="73" customFormat="1">
      <c r="A177" s="564" t="s">
        <v>2275</v>
      </c>
      <c r="B177" s="72">
        <v>1</v>
      </c>
    </row>
    <row r="178" spans="1:2" s="73" customFormat="1" ht="29.25" thickBot="1">
      <c r="A178" s="564" t="s">
        <v>2276</v>
      </c>
      <c r="B178" s="72">
        <v>1</v>
      </c>
    </row>
    <row r="179" spans="1:2" s="73" customFormat="1" ht="15.75" customHeight="1">
      <c r="A179" s="387" t="s">
        <v>102</v>
      </c>
      <c r="B179" s="72"/>
    </row>
    <row r="180" spans="1:2" s="73" customFormat="1" ht="28.5">
      <c r="A180" s="400" t="s">
        <v>2038</v>
      </c>
      <c r="B180" s="72">
        <v>2</v>
      </c>
    </row>
    <row r="181" spans="1:2" s="73" customFormat="1" ht="28.5">
      <c r="A181" s="400" t="s">
        <v>2039</v>
      </c>
      <c r="B181" s="72">
        <v>1.5</v>
      </c>
    </row>
    <row r="182" spans="1:2" s="73" customFormat="1">
      <c r="A182" s="400" t="s">
        <v>2040</v>
      </c>
      <c r="B182" s="72">
        <v>0.5</v>
      </c>
    </row>
    <row r="183" spans="1:2" s="73" customFormat="1">
      <c r="A183" s="400" t="s">
        <v>2041</v>
      </c>
      <c r="B183" s="72">
        <v>1</v>
      </c>
    </row>
    <row r="184" spans="1:2" s="73" customFormat="1" ht="15.75" thickBot="1">
      <c r="A184" s="400" t="s">
        <v>2042</v>
      </c>
      <c r="B184" s="72">
        <v>1</v>
      </c>
    </row>
    <row r="185" spans="1:2" s="73" customFormat="1" ht="35.25" customHeight="1">
      <c r="A185" s="538" t="s">
        <v>2043</v>
      </c>
      <c r="B185" s="72">
        <v>1.5</v>
      </c>
    </row>
    <row r="186" spans="1:2" s="73" customFormat="1" ht="28.5">
      <c r="A186" s="400" t="s">
        <v>2044</v>
      </c>
      <c r="B186" s="72">
        <v>1</v>
      </c>
    </row>
    <row r="187" spans="1:2" s="73" customFormat="1">
      <c r="A187" s="400" t="s">
        <v>2045</v>
      </c>
      <c r="B187" s="72">
        <v>1</v>
      </c>
    </row>
    <row r="188" spans="1:2" s="73" customFormat="1">
      <c r="A188" s="400" t="s">
        <v>2046</v>
      </c>
      <c r="B188" s="72">
        <v>1</v>
      </c>
    </row>
    <row r="189" spans="1:2" s="73" customFormat="1">
      <c r="A189" s="400" t="s">
        <v>2047</v>
      </c>
      <c r="B189" s="72">
        <v>1</v>
      </c>
    </row>
    <row r="190" spans="1:2" s="73" customFormat="1" ht="28.5">
      <c r="A190" s="400" t="s">
        <v>2048</v>
      </c>
      <c r="B190" s="72">
        <v>1</v>
      </c>
    </row>
    <row r="191" spans="1:2" s="73" customFormat="1">
      <c r="A191" s="400" t="s">
        <v>2049</v>
      </c>
      <c r="B191" s="72">
        <v>1</v>
      </c>
    </row>
    <row r="192" spans="1:2" s="73" customFormat="1">
      <c r="A192" s="400" t="s">
        <v>2057</v>
      </c>
      <c r="B192" s="72">
        <v>1</v>
      </c>
    </row>
    <row r="193" spans="1:2" s="73" customFormat="1">
      <c r="A193" s="400" t="s">
        <v>2058</v>
      </c>
      <c r="B193" s="72">
        <v>1.5</v>
      </c>
    </row>
    <row r="194" spans="1:2" s="73" customFormat="1" ht="28.5">
      <c r="A194" s="226" t="s">
        <v>2059</v>
      </c>
      <c r="B194" s="72">
        <v>1</v>
      </c>
    </row>
    <row r="195" spans="1:2" s="73" customFormat="1">
      <c r="A195" s="400" t="s">
        <v>2060</v>
      </c>
      <c r="B195" s="72">
        <v>1.5</v>
      </c>
    </row>
    <row r="196" spans="1:2" s="73" customFormat="1">
      <c r="A196" s="400" t="s">
        <v>2061</v>
      </c>
      <c r="B196" s="72">
        <v>1.5</v>
      </c>
    </row>
    <row r="197" spans="1:2" s="73" customFormat="1">
      <c r="A197" s="400" t="s">
        <v>2062</v>
      </c>
      <c r="B197" s="72">
        <v>1.5</v>
      </c>
    </row>
    <row r="198" spans="1:2" s="73" customFormat="1" ht="28.5">
      <c r="A198" s="400" t="s">
        <v>2063</v>
      </c>
      <c r="B198" s="72">
        <v>1</v>
      </c>
    </row>
    <row r="199" spans="1:2" s="73" customFormat="1" ht="17.25" customHeight="1">
      <c r="A199" s="400" t="s">
        <v>2064</v>
      </c>
      <c r="B199" s="72">
        <v>1.5</v>
      </c>
    </row>
    <row r="200" spans="1:2" s="73" customFormat="1" ht="28.5">
      <c r="A200" s="400" t="s">
        <v>2085</v>
      </c>
      <c r="B200" s="72">
        <v>1</v>
      </c>
    </row>
    <row r="201" spans="1:2" s="73" customFormat="1">
      <c r="A201" s="400" t="s">
        <v>2086</v>
      </c>
      <c r="B201" s="72">
        <v>1.5</v>
      </c>
    </row>
    <row r="202" spans="1:2" s="73" customFormat="1">
      <c r="A202" s="400" t="s">
        <v>2087</v>
      </c>
      <c r="B202" s="72">
        <v>1.5</v>
      </c>
    </row>
    <row r="203" spans="1:2" s="73" customFormat="1">
      <c r="A203" s="400" t="s">
        <v>2088</v>
      </c>
      <c r="B203" s="72">
        <v>1.5</v>
      </c>
    </row>
    <row r="204" spans="1:2" s="73" customFormat="1">
      <c r="A204" s="400" t="s">
        <v>2089</v>
      </c>
      <c r="B204" s="72">
        <v>1</v>
      </c>
    </row>
    <row r="205" spans="1:2" s="73" customFormat="1" ht="15" customHeight="1">
      <c r="A205" s="400" t="s">
        <v>2090</v>
      </c>
      <c r="B205" s="72">
        <v>1</v>
      </c>
    </row>
    <row r="206" spans="1:2" s="73" customFormat="1">
      <c r="A206" s="400" t="s">
        <v>2091</v>
      </c>
      <c r="B206" s="72">
        <v>1.5</v>
      </c>
    </row>
    <row r="207" spans="1:2" s="73" customFormat="1" ht="21.75" customHeight="1">
      <c r="A207" s="400" t="s">
        <v>2092</v>
      </c>
      <c r="B207" s="72">
        <v>1</v>
      </c>
    </row>
    <row r="208" spans="1:2" s="73" customFormat="1">
      <c r="A208" s="400" t="s">
        <v>2108</v>
      </c>
      <c r="B208" s="72">
        <v>1</v>
      </c>
    </row>
    <row r="209" spans="1:2" s="73" customFormat="1" ht="28.5">
      <c r="A209" s="226" t="s">
        <v>2109</v>
      </c>
      <c r="B209" s="72">
        <v>1</v>
      </c>
    </row>
    <row r="210" spans="1:2" s="73" customFormat="1">
      <c r="A210" s="400" t="s">
        <v>2110</v>
      </c>
      <c r="B210" s="72">
        <v>1</v>
      </c>
    </row>
    <row r="211" spans="1:2" s="73" customFormat="1" ht="28.5">
      <c r="A211" s="400" t="s">
        <v>2111</v>
      </c>
      <c r="B211" s="72">
        <v>1</v>
      </c>
    </row>
    <row r="212" spans="1:2" s="73" customFormat="1" ht="15" customHeight="1">
      <c r="A212" s="400" t="s">
        <v>2112</v>
      </c>
      <c r="B212" s="72">
        <v>1</v>
      </c>
    </row>
    <row r="213" spans="1:2" s="73" customFormat="1" ht="15" customHeight="1">
      <c r="A213" s="400" t="s">
        <v>2113</v>
      </c>
      <c r="B213" s="72">
        <v>1</v>
      </c>
    </row>
    <row r="214" spans="1:2" s="73" customFormat="1" ht="28.5">
      <c r="A214" s="400" t="s">
        <v>2114</v>
      </c>
      <c r="B214" s="72">
        <v>1.5</v>
      </c>
    </row>
    <row r="215" spans="1:2" s="73" customFormat="1" ht="18.75" customHeight="1">
      <c r="A215" s="400" t="s">
        <v>2115</v>
      </c>
      <c r="B215" s="72">
        <v>1</v>
      </c>
    </row>
    <row r="216" spans="1:2" s="73" customFormat="1">
      <c r="A216" s="400" t="s">
        <v>2128</v>
      </c>
      <c r="B216" s="72">
        <v>1</v>
      </c>
    </row>
    <row r="217" spans="1:2" s="73" customFormat="1" ht="16.5" customHeight="1">
      <c r="A217" s="400" t="s">
        <v>2129</v>
      </c>
      <c r="B217" s="72">
        <v>1</v>
      </c>
    </row>
    <row r="218" spans="1:2" s="73" customFormat="1" ht="31.5" customHeight="1">
      <c r="A218" s="400" t="s">
        <v>2130</v>
      </c>
      <c r="B218" s="72">
        <v>1</v>
      </c>
    </row>
    <row r="219" spans="1:2" s="73" customFormat="1" ht="28.5">
      <c r="A219" s="400" t="s">
        <v>2131</v>
      </c>
      <c r="B219" s="72">
        <v>1.5</v>
      </c>
    </row>
    <row r="220" spans="1:2" s="73" customFormat="1" ht="28.5">
      <c r="A220" s="400" t="s">
        <v>2132</v>
      </c>
      <c r="B220" s="72">
        <v>1.5</v>
      </c>
    </row>
    <row r="221" spans="1:2" s="73" customFormat="1" ht="28.5">
      <c r="A221" s="400" t="s">
        <v>2133</v>
      </c>
      <c r="B221" s="72">
        <v>1</v>
      </c>
    </row>
    <row r="222" spans="1:2" s="73" customFormat="1" ht="28.5">
      <c r="A222" s="400" t="s">
        <v>2134</v>
      </c>
      <c r="B222" s="72">
        <v>1</v>
      </c>
    </row>
    <row r="223" spans="1:2" s="73" customFormat="1" ht="22.5" customHeight="1">
      <c r="A223" s="400" t="s">
        <v>2147</v>
      </c>
      <c r="B223" s="72">
        <v>1</v>
      </c>
    </row>
    <row r="224" spans="1:2" s="73" customFormat="1" ht="28.5">
      <c r="A224" s="400" t="s">
        <v>2148</v>
      </c>
      <c r="B224" s="72">
        <v>2</v>
      </c>
    </row>
    <row r="225" spans="1:2" s="73" customFormat="1" ht="15" customHeight="1">
      <c r="A225" s="400" t="s">
        <v>2149</v>
      </c>
      <c r="B225" s="72">
        <v>1.5</v>
      </c>
    </row>
    <row r="226" spans="1:2" s="73" customFormat="1" ht="15" customHeight="1">
      <c r="A226" s="400" t="s">
        <v>2150</v>
      </c>
      <c r="B226" s="72">
        <v>1.5</v>
      </c>
    </row>
    <row r="227" spans="1:2" s="73" customFormat="1">
      <c r="A227" s="400" t="s">
        <v>2162</v>
      </c>
      <c r="B227" s="72">
        <v>1</v>
      </c>
    </row>
    <row r="228" spans="1:2" s="73" customFormat="1" ht="16.5" customHeight="1">
      <c r="A228" s="400" t="s">
        <v>2172</v>
      </c>
      <c r="B228" s="72">
        <v>1</v>
      </c>
    </row>
    <row r="229" spans="1:2" s="73" customFormat="1">
      <c r="A229" s="400" t="s">
        <v>2173</v>
      </c>
      <c r="B229" s="72">
        <v>1.5</v>
      </c>
    </row>
    <row r="230" spans="1:2" s="73" customFormat="1" ht="28.5">
      <c r="A230" s="400" t="s">
        <v>2174</v>
      </c>
      <c r="B230" s="72">
        <v>2</v>
      </c>
    </row>
    <row r="231" spans="1:2" s="73" customFormat="1">
      <c r="A231" s="400" t="s">
        <v>2175</v>
      </c>
      <c r="B231" s="72">
        <v>0.5</v>
      </c>
    </row>
    <row r="232" spans="1:2" s="73" customFormat="1">
      <c r="A232" s="226" t="s">
        <v>2176</v>
      </c>
      <c r="B232" s="72">
        <v>1</v>
      </c>
    </row>
    <row r="233" spans="1:2" s="73" customFormat="1" ht="15" customHeight="1">
      <c r="A233" s="400" t="s">
        <v>2177</v>
      </c>
      <c r="B233" s="72">
        <v>1</v>
      </c>
    </row>
    <row r="234" spans="1:2" s="73" customFormat="1">
      <c r="A234" s="400" t="s">
        <v>2178</v>
      </c>
      <c r="B234" s="72">
        <v>1</v>
      </c>
    </row>
    <row r="235" spans="1:2" s="73" customFormat="1">
      <c r="A235" s="400" t="s">
        <v>2179</v>
      </c>
      <c r="B235" s="72">
        <v>1</v>
      </c>
    </row>
    <row r="236" spans="1:2" s="73" customFormat="1" ht="28.5">
      <c r="A236" s="400" t="s">
        <v>2193</v>
      </c>
      <c r="B236" s="72">
        <v>1</v>
      </c>
    </row>
    <row r="237" spans="1:2" s="73" customFormat="1" ht="28.5">
      <c r="A237" s="400" t="s">
        <v>2194</v>
      </c>
      <c r="B237" s="72">
        <v>1</v>
      </c>
    </row>
    <row r="238" spans="1:2" s="73" customFormat="1" ht="15" customHeight="1">
      <c r="A238" s="400" t="s">
        <v>2195</v>
      </c>
      <c r="B238" s="72">
        <v>1</v>
      </c>
    </row>
    <row r="239" spans="1:2" s="73" customFormat="1">
      <c r="A239" s="400" t="s">
        <v>2196</v>
      </c>
      <c r="B239" s="72">
        <v>1</v>
      </c>
    </row>
    <row r="240" spans="1:2" s="73" customFormat="1" ht="16.5" customHeight="1">
      <c r="A240" s="400" t="s">
        <v>2197</v>
      </c>
      <c r="B240" s="72">
        <v>1</v>
      </c>
    </row>
    <row r="241" spans="1:2" s="73" customFormat="1">
      <c r="A241" s="400" t="s">
        <v>2198</v>
      </c>
      <c r="B241" s="72">
        <v>1</v>
      </c>
    </row>
    <row r="242" spans="1:2" s="73" customFormat="1" ht="28.5">
      <c r="A242" s="400" t="s">
        <v>2199</v>
      </c>
      <c r="B242" s="72">
        <v>1</v>
      </c>
    </row>
    <row r="243" spans="1:2" s="73" customFormat="1" ht="28.5">
      <c r="A243" s="226" t="s">
        <v>2218</v>
      </c>
      <c r="B243" s="72">
        <v>1.5</v>
      </c>
    </row>
    <row r="244" spans="1:2" s="73" customFormat="1" ht="21.75" customHeight="1">
      <c r="A244" s="400" t="s">
        <v>2220</v>
      </c>
      <c r="B244" s="72">
        <v>2</v>
      </c>
    </row>
    <row r="245" spans="1:2" s="73" customFormat="1">
      <c r="A245" s="400" t="s">
        <v>2219</v>
      </c>
      <c r="B245" s="72"/>
    </row>
    <row r="246" spans="1:2" s="73" customFormat="1" ht="16.5" customHeight="1">
      <c r="A246" s="400" t="s">
        <v>2221</v>
      </c>
      <c r="B246" s="72">
        <v>1</v>
      </c>
    </row>
    <row r="247" spans="1:2" s="73" customFormat="1">
      <c r="A247" s="400" t="s">
        <v>2222</v>
      </c>
      <c r="B247" s="72">
        <v>1</v>
      </c>
    </row>
    <row r="248" spans="1:2" s="73" customFormat="1">
      <c r="A248" s="400" t="s">
        <v>2223</v>
      </c>
      <c r="B248" s="72">
        <v>1</v>
      </c>
    </row>
    <row r="249" spans="1:2" s="73" customFormat="1">
      <c r="A249" s="400" t="s">
        <v>2224</v>
      </c>
      <c r="B249" s="72">
        <v>1</v>
      </c>
    </row>
    <row r="250" spans="1:2" s="73" customFormat="1">
      <c r="A250" s="400" t="s">
        <v>2225</v>
      </c>
      <c r="B250" s="72">
        <v>1</v>
      </c>
    </row>
    <row r="251" spans="1:2" s="73" customFormat="1">
      <c r="A251" s="146" t="s">
        <v>2226</v>
      </c>
      <c r="B251" s="123">
        <v>1</v>
      </c>
    </row>
    <row r="252" spans="1:2" s="73" customFormat="1" ht="28.5">
      <c r="A252" s="400" t="s">
        <v>2227</v>
      </c>
      <c r="B252" s="549">
        <v>1</v>
      </c>
    </row>
    <row r="253" spans="1:2" s="73" customFormat="1" ht="28.5">
      <c r="A253" s="400" t="s">
        <v>2228</v>
      </c>
      <c r="B253" s="549">
        <v>1</v>
      </c>
    </row>
    <row r="254" spans="1:2" s="73" customFormat="1">
      <c r="A254" s="400" t="s">
        <v>2229</v>
      </c>
      <c r="B254" s="549">
        <v>1</v>
      </c>
    </row>
    <row r="255" spans="1:2">
      <c r="A255" s="127" t="s">
        <v>2245</v>
      </c>
      <c r="B255" s="127">
        <v>1</v>
      </c>
    </row>
    <row r="256" spans="1:2" ht="30">
      <c r="A256" s="142" t="s">
        <v>2246</v>
      </c>
      <c r="B256" s="127">
        <v>1</v>
      </c>
    </row>
    <row r="257" spans="1:2" s="73" customFormat="1">
      <c r="A257" s="400" t="s">
        <v>2247</v>
      </c>
      <c r="B257" s="549">
        <v>1</v>
      </c>
    </row>
    <row r="258" spans="1:2" s="73" customFormat="1">
      <c r="A258" s="400" t="s">
        <v>2248</v>
      </c>
      <c r="B258" s="549">
        <v>1</v>
      </c>
    </row>
    <row r="259" spans="1:2" s="73" customFormat="1" ht="28.5">
      <c r="A259" s="400" t="s">
        <v>2249</v>
      </c>
      <c r="B259" s="549">
        <v>1</v>
      </c>
    </row>
    <row r="260" spans="1:2" s="73" customFormat="1" ht="28.5">
      <c r="A260" s="400" t="s">
        <v>2250</v>
      </c>
      <c r="B260" s="549">
        <v>1</v>
      </c>
    </row>
    <row r="261" spans="1:2" s="73" customFormat="1" ht="28.5">
      <c r="A261" s="400" t="s">
        <v>2251</v>
      </c>
      <c r="B261" s="549">
        <v>2</v>
      </c>
    </row>
    <row r="262" spans="1:2" s="73" customFormat="1">
      <c r="A262" s="400" t="s">
        <v>2252</v>
      </c>
      <c r="B262" s="549">
        <v>1</v>
      </c>
    </row>
    <row r="263" spans="1:2" s="73" customFormat="1" ht="28.5">
      <c r="A263" s="400" t="s">
        <v>2253</v>
      </c>
      <c r="B263" s="549">
        <v>1</v>
      </c>
    </row>
    <row r="264" spans="1:2" s="73" customFormat="1" ht="28.5">
      <c r="A264" s="400" t="s">
        <v>2254</v>
      </c>
      <c r="B264" s="549">
        <v>1</v>
      </c>
    </row>
    <row r="265" spans="1:2" s="73" customFormat="1">
      <c r="A265" s="400" t="s">
        <v>2255</v>
      </c>
      <c r="B265" s="549">
        <v>1</v>
      </c>
    </row>
    <row r="266" spans="1:2" s="73" customFormat="1">
      <c r="A266" s="400" t="s">
        <v>2277</v>
      </c>
      <c r="B266" s="549">
        <v>1</v>
      </c>
    </row>
    <row r="267" spans="1:2" s="73" customFormat="1" ht="28.5">
      <c r="A267" s="400" t="s">
        <v>2279</v>
      </c>
      <c r="B267" s="549">
        <v>1</v>
      </c>
    </row>
    <row r="268" spans="1:2" s="73" customFormat="1">
      <c r="A268" s="400" t="s">
        <v>2280</v>
      </c>
      <c r="B268" s="549">
        <v>1</v>
      </c>
    </row>
    <row r="269" spans="1:2" s="73" customFormat="1" ht="28.5">
      <c r="A269" s="400" t="s">
        <v>2281</v>
      </c>
      <c r="B269" s="549">
        <v>1</v>
      </c>
    </row>
    <row r="270" spans="1:2" s="73" customFormat="1">
      <c r="A270" s="400" t="s">
        <v>2282</v>
      </c>
      <c r="B270" s="549">
        <v>1</v>
      </c>
    </row>
    <row r="271" spans="1:2" s="73" customFormat="1">
      <c r="A271" s="400" t="s">
        <v>2283</v>
      </c>
      <c r="B271" s="549">
        <v>1</v>
      </c>
    </row>
    <row r="272" spans="1:2" s="73" customFormat="1">
      <c r="A272" s="400" t="s">
        <v>2284</v>
      </c>
      <c r="B272" s="549">
        <v>1</v>
      </c>
    </row>
    <row r="273" spans="1:253" s="73" customFormat="1">
      <c r="A273" s="400" t="s">
        <v>2285</v>
      </c>
      <c r="B273" s="549">
        <v>1</v>
      </c>
    </row>
    <row r="274" spans="1:253" s="73" customFormat="1">
      <c r="A274" s="400" t="s">
        <v>2286</v>
      </c>
      <c r="B274" s="549">
        <v>1</v>
      </c>
    </row>
    <row r="275" spans="1:253" s="73" customFormat="1" ht="16.5" customHeight="1">
      <c r="A275" s="400" t="s">
        <v>2287</v>
      </c>
      <c r="B275" s="549">
        <v>1</v>
      </c>
    </row>
    <row r="276" spans="1:253" s="73" customFormat="1" ht="16.5" customHeight="1">
      <c r="A276" s="400" t="s">
        <v>2421</v>
      </c>
      <c r="B276" s="549">
        <v>0.5</v>
      </c>
    </row>
    <row r="277" spans="1:253" s="73" customFormat="1" ht="16.5" customHeight="1">
      <c r="A277" s="400" t="s">
        <v>2423</v>
      </c>
      <c r="B277" s="549">
        <v>0.5</v>
      </c>
    </row>
    <row r="278" spans="1:253" s="73" customFormat="1" ht="29.25" customHeight="1">
      <c r="A278" s="400" t="s">
        <v>2422</v>
      </c>
      <c r="B278" s="549">
        <v>1</v>
      </c>
    </row>
    <row r="279" spans="1:253" s="73" customFormat="1" ht="17.25" customHeight="1">
      <c r="A279" s="400" t="s">
        <v>3031</v>
      </c>
      <c r="B279" s="549">
        <v>2</v>
      </c>
    </row>
    <row r="280" spans="1:253" s="73" customFormat="1">
      <c r="A280" s="400" t="s">
        <v>2288</v>
      </c>
      <c r="B280" s="549">
        <v>1</v>
      </c>
    </row>
    <row r="281" spans="1:253" s="73" customFormat="1">
      <c r="A281" s="400" t="s">
        <v>2289</v>
      </c>
      <c r="B281" s="549">
        <v>1</v>
      </c>
    </row>
    <row r="282" spans="1:253" s="73" customFormat="1" ht="15.75" thickBot="1">
      <c r="A282" s="558" t="s">
        <v>587</v>
      </c>
      <c r="B282" s="129">
        <f>SUM(B6:B281)</f>
        <v>629.5</v>
      </c>
    </row>
    <row r="283" spans="1:253">
      <c r="A283" s="78"/>
      <c r="B283" s="75"/>
    </row>
    <row r="284" spans="1:253" s="179" customFormat="1" ht="43.5" customHeight="1">
      <c r="A284" s="555" t="s">
        <v>2414</v>
      </c>
      <c r="IS284"/>
    </row>
    <row r="285" spans="1:253">
      <c r="A285" s="217" t="s">
        <v>593</v>
      </c>
      <c r="B285" s="541">
        <v>5120.2</v>
      </c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  <c r="AA285" s="179"/>
      <c r="AB285" s="179"/>
      <c r="AC285" s="179"/>
      <c r="AD285" s="179"/>
      <c r="AE285" s="179"/>
      <c r="AF285" s="179"/>
      <c r="AG285" s="179"/>
      <c r="AH285" s="179"/>
      <c r="AI285" s="179"/>
      <c r="AJ285" s="179"/>
      <c r="AK285" s="179"/>
      <c r="AL285" s="179"/>
      <c r="AM285" s="179"/>
      <c r="AN285" s="179"/>
      <c r="AO285" s="179"/>
      <c r="AP285" s="179"/>
      <c r="AQ285" s="179"/>
      <c r="AR285" s="179"/>
      <c r="AS285" s="179"/>
      <c r="AT285" s="179"/>
      <c r="AU285" s="179"/>
      <c r="AV285" s="179"/>
      <c r="AW285" s="179"/>
      <c r="AX285" s="179"/>
      <c r="AY285" s="179"/>
      <c r="AZ285" s="179"/>
      <c r="BA285" s="179"/>
      <c r="BB285" s="179"/>
      <c r="BC285" s="179"/>
      <c r="BD285" s="179"/>
      <c r="BE285" s="179"/>
      <c r="BF285" s="179"/>
      <c r="BG285" s="179"/>
      <c r="BH285" s="179"/>
      <c r="BI285" s="179"/>
      <c r="BJ285" s="179"/>
      <c r="BK285" s="179"/>
      <c r="BL285" s="179"/>
      <c r="BM285" s="179"/>
      <c r="BN285" s="179"/>
      <c r="BO285" s="179"/>
      <c r="BP285" s="179"/>
      <c r="BQ285" s="179"/>
      <c r="BR285" s="179"/>
      <c r="BS285" s="179"/>
      <c r="BT285" s="179"/>
      <c r="BU285" s="179"/>
      <c r="BV285" s="179"/>
      <c r="BW285" s="179"/>
      <c r="BX285" s="179"/>
      <c r="BY285" s="179"/>
      <c r="BZ285" s="179"/>
      <c r="CA285" s="179"/>
      <c r="CB285" s="179"/>
      <c r="CC285" s="179"/>
      <c r="CD285" s="179"/>
      <c r="CE285" s="179"/>
      <c r="CF285" s="179"/>
      <c r="CG285" s="179"/>
      <c r="CH285" s="179"/>
      <c r="CI285" s="179"/>
      <c r="CJ285" s="179"/>
      <c r="CK285" s="179"/>
      <c r="CL285" s="179"/>
      <c r="CM285" s="179"/>
      <c r="CN285" s="179"/>
      <c r="CO285" s="179"/>
      <c r="CP285" s="179"/>
      <c r="CQ285" s="179"/>
      <c r="CR285" s="179"/>
      <c r="CS285" s="179"/>
      <c r="CT285" s="179"/>
      <c r="CU285" s="179"/>
      <c r="CV285" s="179"/>
      <c r="CW285" s="179"/>
      <c r="CX285" s="179"/>
      <c r="CY285" s="179"/>
      <c r="CZ285" s="179"/>
      <c r="DA285" s="179"/>
      <c r="DB285" s="179"/>
      <c r="DC285" s="179"/>
      <c r="DD285" s="179"/>
      <c r="DE285" s="179"/>
      <c r="DF285" s="179"/>
      <c r="DG285" s="179"/>
      <c r="DH285" s="179"/>
      <c r="DI285" s="179"/>
      <c r="DJ285" s="179"/>
      <c r="DK285" s="179"/>
      <c r="DL285" s="179"/>
      <c r="DM285" s="179"/>
      <c r="DN285" s="179"/>
      <c r="DO285" s="179"/>
      <c r="DP285" s="179"/>
      <c r="DQ285" s="179"/>
      <c r="DR285" s="179"/>
      <c r="DS285" s="179"/>
      <c r="DT285" s="179"/>
      <c r="DU285" s="179"/>
      <c r="DV285" s="179"/>
      <c r="DW285" s="179"/>
      <c r="DX285" s="179"/>
      <c r="DY285" s="179"/>
      <c r="DZ285" s="179"/>
      <c r="EA285" s="179"/>
      <c r="EB285" s="179"/>
      <c r="EC285" s="179"/>
      <c r="ED285" s="179"/>
      <c r="EE285" s="179"/>
      <c r="EF285" s="179"/>
      <c r="EG285" s="179"/>
      <c r="EH285" s="179"/>
      <c r="EI285" s="179"/>
      <c r="EJ285" s="179"/>
      <c r="EK285" s="179"/>
      <c r="EL285" s="179"/>
      <c r="EM285" s="179"/>
      <c r="EN285" s="179"/>
      <c r="EO285" s="179"/>
      <c r="EP285" s="179"/>
      <c r="EQ285" s="179"/>
      <c r="ER285" s="179"/>
      <c r="ES285" s="179"/>
      <c r="ET285" s="179"/>
      <c r="EU285" s="179"/>
      <c r="EV285" s="179"/>
      <c r="EW285" s="179"/>
      <c r="EX285" s="179"/>
      <c r="EY285" s="179"/>
      <c r="EZ285" s="179"/>
      <c r="FA285" s="179"/>
      <c r="FB285" s="179"/>
      <c r="FC285" s="179"/>
      <c r="FD285" s="179"/>
      <c r="FE285" s="179"/>
      <c r="FF285" s="179"/>
      <c r="FG285" s="179"/>
      <c r="FH285" s="179"/>
      <c r="FI285" s="179"/>
      <c r="FJ285" s="179"/>
      <c r="FK285" s="179"/>
      <c r="FL285" s="179"/>
      <c r="FM285" s="179"/>
      <c r="FN285" s="179"/>
      <c r="FO285" s="179"/>
      <c r="FP285" s="179"/>
      <c r="FQ285" s="179"/>
      <c r="FR285" s="179"/>
      <c r="FS285" s="179"/>
      <c r="FT285" s="179"/>
      <c r="FU285" s="179"/>
      <c r="FV285" s="179"/>
      <c r="FW285" s="179"/>
      <c r="FX285" s="179"/>
      <c r="FY285" s="179"/>
      <c r="FZ285" s="179"/>
      <c r="GA285" s="179"/>
      <c r="GB285" s="179"/>
      <c r="GC285" s="179"/>
      <c r="GD285" s="179"/>
      <c r="GE285" s="179"/>
      <c r="GF285" s="179"/>
      <c r="GG285" s="179"/>
      <c r="GH285" s="179"/>
      <c r="GI285" s="179"/>
      <c r="GJ285" s="179"/>
      <c r="GK285" s="179"/>
      <c r="GL285" s="179"/>
      <c r="GM285" s="179"/>
      <c r="GN285" s="179"/>
      <c r="GO285" s="179"/>
      <c r="GP285" s="179"/>
      <c r="GQ285" s="179"/>
      <c r="GR285" s="179"/>
      <c r="GS285" s="179"/>
      <c r="GT285" s="179"/>
      <c r="GU285" s="179"/>
      <c r="GV285" s="179"/>
      <c r="GW285" s="179"/>
      <c r="GX285" s="179"/>
      <c r="GY285" s="179"/>
      <c r="GZ285" s="179"/>
      <c r="HA285" s="179"/>
      <c r="HB285" s="179"/>
      <c r="HC285" s="179"/>
      <c r="HD285" s="179"/>
      <c r="HE285" s="179"/>
      <c r="HF285" s="179"/>
      <c r="HG285" s="179"/>
      <c r="HH285" s="179"/>
      <c r="HI285" s="179"/>
      <c r="HJ285" s="179"/>
      <c r="HK285" s="179"/>
      <c r="HL285" s="179"/>
      <c r="HM285" s="179"/>
      <c r="HN285" s="179"/>
      <c r="HO285" s="179"/>
      <c r="HP285" s="179"/>
      <c r="HQ285" s="179"/>
      <c r="HR285" s="179"/>
      <c r="HS285" s="179"/>
      <c r="HT285" s="179"/>
      <c r="HU285" s="179"/>
      <c r="HV285" s="179"/>
      <c r="HW285" s="179"/>
      <c r="HX285" s="179"/>
      <c r="HY285" s="179"/>
      <c r="HZ285" s="179"/>
      <c r="IA285" s="179"/>
      <c r="IB285" s="179"/>
      <c r="IC285" s="179"/>
      <c r="ID285" s="179"/>
      <c r="IE285" s="179"/>
      <c r="IF285" s="179"/>
      <c r="IG285" s="179"/>
      <c r="IH285" s="179"/>
      <c r="II285" s="179"/>
      <c r="IJ285" s="179"/>
      <c r="IK285" s="179"/>
      <c r="IL285" s="179"/>
      <c r="IM285" s="179"/>
      <c r="IN285" s="179"/>
      <c r="IO285" s="179"/>
      <c r="IP285" s="179"/>
      <c r="IQ285" s="179"/>
      <c r="IR285" s="179"/>
    </row>
    <row r="286" spans="1:253">
      <c r="A286" s="217" t="s">
        <v>594</v>
      </c>
      <c r="B286" s="541">
        <v>19.16</v>
      </c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  <c r="AA286" s="179"/>
      <c r="AB286" s="179"/>
      <c r="AC286" s="179"/>
      <c r="AD286" s="179"/>
      <c r="AE286" s="179"/>
      <c r="AF286" s="179"/>
      <c r="AG286" s="179"/>
      <c r="AH286" s="179"/>
      <c r="AI286" s="179"/>
      <c r="AJ286" s="179"/>
      <c r="AK286" s="179"/>
      <c r="AL286" s="179"/>
      <c r="AM286" s="179"/>
      <c r="AN286" s="179"/>
      <c r="AO286" s="179"/>
      <c r="AP286" s="179"/>
      <c r="AQ286" s="179"/>
      <c r="AR286" s="179"/>
      <c r="AS286" s="179"/>
      <c r="AT286" s="179"/>
      <c r="AU286" s="179"/>
      <c r="AV286" s="179"/>
      <c r="AW286" s="179"/>
      <c r="AX286" s="179"/>
      <c r="AY286" s="179"/>
      <c r="AZ286" s="179"/>
      <c r="BA286" s="179"/>
      <c r="BB286" s="179"/>
      <c r="BC286" s="179"/>
      <c r="BD286" s="179"/>
      <c r="BE286" s="179"/>
      <c r="BF286" s="179"/>
      <c r="BG286" s="179"/>
      <c r="BH286" s="179"/>
      <c r="BI286" s="179"/>
      <c r="BJ286" s="179"/>
      <c r="BK286" s="179"/>
      <c r="BL286" s="179"/>
      <c r="BM286" s="179"/>
      <c r="BN286" s="179"/>
      <c r="BO286" s="179"/>
      <c r="BP286" s="179"/>
      <c r="BQ286" s="179"/>
      <c r="BR286" s="179"/>
      <c r="BS286" s="179"/>
      <c r="BT286" s="179"/>
      <c r="BU286" s="179"/>
      <c r="BV286" s="179"/>
      <c r="BW286" s="179"/>
      <c r="BX286" s="179"/>
      <c r="BY286" s="179"/>
      <c r="BZ286" s="179"/>
      <c r="CA286" s="179"/>
      <c r="CB286" s="179"/>
      <c r="CC286" s="179"/>
      <c r="CD286" s="179"/>
      <c r="CE286" s="179"/>
      <c r="CF286" s="179"/>
      <c r="CG286" s="179"/>
      <c r="CH286" s="179"/>
      <c r="CI286" s="179"/>
      <c r="CJ286" s="179"/>
      <c r="CK286" s="179"/>
      <c r="CL286" s="179"/>
      <c r="CM286" s="179"/>
      <c r="CN286" s="179"/>
      <c r="CO286" s="179"/>
      <c r="CP286" s="179"/>
      <c r="CQ286" s="179"/>
      <c r="CR286" s="179"/>
      <c r="CS286" s="179"/>
      <c r="CT286" s="179"/>
      <c r="CU286" s="179"/>
      <c r="CV286" s="179"/>
      <c r="CW286" s="179"/>
      <c r="CX286" s="179"/>
      <c r="CY286" s="179"/>
      <c r="CZ286" s="179"/>
      <c r="DA286" s="179"/>
      <c r="DB286" s="179"/>
      <c r="DC286" s="179"/>
      <c r="DD286" s="179"/>
      <c r="DE286" s="179"/>
      <c r="DF286" s="179"/>
      <c r="DG286" s="179"/>
      <c r="DH286" s="179"/>
      <c r="DI286" s="179"/>
      <c r="DJ286" s="179"/>
      <c r="DK286" s="179"/>
      <c r="DL286" s="179"/>
      <c r="DM286" s="179"/>
      <c r="DN286" s="179"/>
      <c r="DO286" s="179"/>
      <c r="DP286" s="179"/>
      <c r="DQ286" s="179"/>
      <c r="DR286" s="179"/>
      <c r="DS286" s="179"/>
      <c r="DT286" s="179"/>
      <c r="DU286" s="179"/>
      <c r="DV286" s="179"/>
      <c r="DW286" s="179"/>
      <c r="DX286" s="179"/>
      <c r="DY286" s="179"/>
      <c r="DZ286" s="179"/>
      <c r="EA286" s="179"/>
      <c r="EB286" s="179"/>
      <c r="EC286" s="179"/>
      <c r="ED286" s="179"/>
      <c r="EE286" s="179"/>
      <c r="EF286" s="179"/>
      <c r="EG286" s="179"/>
      <c r="EH286" s="179"/>
      <c r="EI286" s="179"/>
      <c r="EJ286" s="179"/>
      <c r="EK286" s="179"/>
      <c r="EL286" s="179"/>
      <c r="EM286" s="179"/>
      <c r="EN286" s="179"/>
      <c r="EO286" s="179"/>
      <c r="EP286" s="179"/>
      <c r="EQ286" s="179"/>
      <c r="ER286" s="179"/>
      <c r="ES286" s="179"/>
      <c r="ET286" s="179"/>
      <c r="EU286" s="179"/>
      <c r="EV286" s="179"/>
      <c r="EW286" s="179"/>
      <c r="EX286" s="179"/>
      <c r="EY286" s="179"/>
      <c r="EZ286" s="179"/>
      <c r="FA286" s="179"/>
      <c r="FB286" s="179"/>
      <c r="FC286" s="179"/>
      <c r="FD286" s="179"/>
      <c r="FE286" s="179"/>
      <c r="FF286" s="179"/>
      <c r="FG286" s="179"/>
      <c r="FH286" s="179"/>
      <c r="FI286" s="179"/>
      <c r="FJ286" s="179"/>
      <c r="FK286" s="179"/>
      <c r="FL286" s="179"/>
      <c r="FM286" s="179"/>
      <c r="FN286" s="179"/>
      <c r="FO286" s="179"/>
      <c r="FP286" s="179"/>
      <c r="FQ286" s="179"/>
      <c r="FR286" s="179"/>
      <c r="FS286" s="179"/>
      <c r="FT286" s="179"/>
      <c r="FU286" s="179"/>
      <c r="FV286" s="179"/>
      <c r="FW286" s="179"/>
      <c r="FX286" s="179"/>
      <c r="FY286" s="179"/>
      <c r="FZ286" s="179"/>
      <c r="GA286" s="179"/>
      <c r="GB286" s="179"/>
      <c r="GC286" s="179"/>
      <c r="GD286" s="179"/>
      <c r="GE286" s="179"/>
      <c r="GF286" s="179"/>
      <c r="GG286" s="179"/>
      <c r="GH286" s="179"/>
      <c r="GI286" s="179"/>
      <c r="GJ286" s="179"/>
      <c r="GK286" s="179"/>
      <c r="GL286" s="179"/>
      <c r="GM286" s="179"/>
      <c r="GN286" s="179"/>
      <c r="GO286" s="179"/>
      <c r="GP286" s="179"/>
      <c r="GQ286" s="179"/>
      <c r="GR286" s="179"/>
      <c r="GS286" s="179"/>
      <c r="GT286" s="179"/>
      <c r="GU286" s="179"/>
      <c r="GV286" s="179"/>
      <c r="GW286" s="179"/>
      <c r="GX286" s="179"/>
      <c r="GY286" s="179"/>
      <c r="GZ286" s="179"/>
      <c r="HA286" s="179"/>
      <c r="HB286" s="179"/>
      <c r="HC286" s="179"/>
      <c r="HD286" s="179"/>
      <c r="HE286" s="179"/>
      <c r="HF286" s="179"/>
      <c r="HG286" s="179"/>
      <c r="HH286" s="179"/>
      <c r="HI286" s="179"/>
      <c r="HJ286" s="179"/>
      <c r="HK286" s="179"/>
      <c r="HL286" s="179"/>
      <c r="HM286" s="179"/>
      <c r="HN286" s="179"/>
      <c r="HO286" s="179"/>
      <c r="HP286" s="179"/>
      <c r="HQ286" s="179"/>
      <c r="HR286" s="179"/>
      <c r="HS286" s="179"/>
      <c r="HT286" s="179"/>
      <c r="HU286" s="179"/>
      <c r="HV286" s="179"/>
      <c r="HW286" s="179"/>
      <c r="HX286" s="179"/>
      <c r="HY286" s="179"/>
      <c r="HZ286" s="179"/>
      <c r="IA286" s="179"/>
      <c r="IB286" s="179"/>
      <c r="IC286" s="179"/>
      <c r="ID286" s="179"/>
      <c r="IE286" s="179"/>
      <c r="IF286" s="179"/>
      <c r="IG286" s="179"/>
      <c r="IH286" s="179"/>
      <c r="II286" s="179"/>
      <c r="IJ286" s="179"/>
      <c r="IK286" s="179"/>
      <c r="IL286" s="179"/>
      <c r="IM286" s="179"/>
      <c r="IN286" s="179"/>
      <c r="IO286" s="179"/>
      <c r="IP286" s="179"/>
      <c r="IQ286" s="179"/>
      <c r="IR286" s="179"/>
    </row>
    <row r="287" spans="1:253">
      <c r="A287" s="218" t="s">
        <v>711</v>
      </c>
      <c r="B287" s="193">
        <v>254164.79</v>
      </c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  <c r="AA287" s="179"/>
      <c r="AB287" s="179"/>
      <c r="AC287" s="179"/>
      <c r="AD287" s="179"/>
      <c r="AE287" s="179"/>
      <c r="AF287" s="179"/>
      <c r="AG287" s="179"/>
      <c r="AH287" s="179"/>
      <c r="AI287" s="179"/>
      <c r="AJ287" s="179"/>
      <c r="AK287" s="179"/>
      <c r="AL287" s="179"/>
      <c r="AM287" s="179"/>
      <c r="AN287" s="179"/>
      <c r="AO287" s="179"/>
      <c r="AP287" s="179"/>
      <c r="AQ287" s="179"/>
      <c r="AR287" s="179"/>
      <c r="AS287" s="179"/>
      <c r="AT287" s="179"/>
      <c r="AU287" s="179"/>
      <c r="AV287" s="179"/>
      <c r="AW287" s="179"/>
      <c r="AX287" s="179"/>
      <c r="AY287" s="179"/>
      <c r="AZ287" s="179"/>
      <c r="BA287" s="179"/>
      <c r="BB287" s="179"/>
      <c r="BC287" s="179"/>
      <c r="BD287" s="179"/>
      <c r="BE287" s="179"/>
      <c r="BF287" s="179"/>
      <c r="BG287" s="179"/>
      <c r="BH287" s="179"/>
      <c r="BI287" s="179"/>
      <c r="BJ287" s="179"/>
      <c r="BK287" s="179"/>
      <c r="BL287" s="179"/>
      <c r="BM287" s="179"/>
      <c r="BN287" s="179"/>
      <c r="BO287" s="179"/>
      <c r="BP287" s="179"/>
      <c r="BQ287" s="179"/>
      <c r="BR287" s="179"/>
      <c r="BS287" s="179"/>
      <c r="BT287" s="179"/>
      <c r="BU287" s="179"/>
      <c r="BV287" s="179"/>
      <c r="BW287" s="179"/>
      <c r="BX287" s="179"/>
      <c r="BY287" s="179"/>
      <c r="BZ287" s="179"/>
      <c r="CA287" s="179"/>
      <c r="CB287" s="179"/>
      <c r="CC287" s="179"/>
      <c r="CD287" s="179"/>
      <c r="CE287" s="179"/>
      <c r="CF287" s="179"/>
      <c r="CG287" s="179"/>
      <c r="CH287" s="179"/>
      <c r="CI287" s="179"/>
      <c r="CJ287" s="179"/>
      <c r="CK287" s="179"/>
      <c r="CL287" s="179"/>
      <c r="CM287" s="179"/>
      <c r="CN287" s="179"/>
      <c r="CO287" s="179"/>
      <c r="CP287" s="179"/>
      <c r="CQ287" s="179"/>
      <c r="CR287" s="179"/>
      <c r="CS287" s="179"/>
      <c r="CT287" s="179"/>
      <c r="CU287" s="179"/>
      <c r="CV287" s="179"/>
      <c r="CW287" s="179"/>
      <c r="CX287" s="179"/>
      <c r="CY287" s="179"/>
      <c r="CZ287" s="179"/>
      <c r="DA287" s="179"/>
      <c r="DB287" s="179"/>
      <c r="DC287" s="179"/>
      <c r="DD287" s="179"/>
      <c r="DE287" s="179"/>
      <c r="DF287" s="179"/>
      <c r="DG287" s="179"/>
      <c r="DH287" s="179"/>
      <c r="DI287" s="179"/>
      <c r="DJ287" s="179"/>
      <c r="DK287" s="179"/>
      <c r="DL287" s="179"/>
      <c r="DM287" s="179"/>
      <c r="DN287" s="179"/>
      <c r="DO287" s="179"/>
      <c r="DP287" s="179"/>
      <c r="DQ287" s="179"/>
      <c r="DR287" s="179"/>
      <c r="DS287" s="179"/>
      <c r="DT287" s="179"/>
      <c r="DU287" s="179"/>
      <c r="DV287" s="179"/>
      <c r="DW287" s="179"/>
      <c r="DX287" s="179"/>
      <c r="DY287" s="179"/>
      <c r="DZ287" s="179"/>
      <c r="EA287" s="179"/>
      <c r="EB287" s="179"/>
      <c r="EC287" s="179"/>
      <c r="ED287" s="179"/>
      <c r="EE287" s="179"/>
      <c r="EF287" s="179"/>
      <c r="EG287" s="179"/>
      <c r="EH287" s="179"/>
      <c r="EI287" s="179"/>
      <c r="EJ287" s="179"/>
      <c r="EK287" s="179"/>
      <c r="EL287" s="179"/>
      <c r="EM287" s="179"/>
      <c r="EN287" s="179"/>
      <c r="EO287" s="179"/>
      <c r="EP287" s="179"/>
      <c r="EQ287" s="179"/>
      <c r="ER287" s="179"/>
      <c r="ES287" s="179"/>
      <c r="ET287" s="179"/>
      <c r="EU287" s="179"/>
      <c r="EV287" s="179"/>
      <c r="EW287" s="179"/>
      <c r="EX287" s="179"/>
      <c r="EY287" s="179"/>
      <c r="EZ287" s="179"/>
      <c r="FA287" s="179"/>
      <c r="FB287" s="179"/>
      <c r="FC287" s="179"/>
      <c r="FD287" s="179"/>
      <c r="FE287" s="179"/>
      <c r="FF287" s="179"/>
      <c r="FG287" s="179"/>
      <c r="FH287" s="179"/>
      <c r="FI287" s="179"/>
      <c r="FJ287" s="179"/>
      <c r="FK287" s="179"/>
      <c r="FL287" s="179"/>
      <c r="FM287" s="179"/>
      <c r="FN287" s="179"/>
      <c r="FO287" s="179"/>
      <c r="FP287" s="179"/>
      <c r="FQ287" s="179"/>
      <c r="FR287" s="179"/>
      <c r="FS287" s="179"/>
      <c r="FT287" s="179"/>
      <c r="FU287" s="179"/>
      <c r="FV287" s="179"/>
      <c r="FW287" s="179"/>
      <c r="FX287" s="179"/>
      <c r="FY287" s="179"/>
      <c r="FZ287" s="179"/>
      <c r="GA287" s="179"/>
      <c r="GB287" s="179"/>
      <c r="GC287" s="179"/>
      <c r="GD287" s="179"/>
      <c r="GE287" s="179"/>
      <c r="GF287" s="179"/>
      <c r="GG287" s="179"/>
      <c r="GH287" s="179"/>
      <c r="GI287" s="179"/>
      <c r="GJ287" s="179"/>
      <c r="GK287" s="179"/>
      <c r="GL287" s="179"/>
      <c r="GM287" s="179"/>
      <c r="GN287" s="179"/>
      <c r="GO287" s="179"/>
      <c r="GP287" s="179"/>
      <c r="GQ287" s="179"/>
      <c r="GR287" s="179"/>
      <c r="GS287" s="179"/>
      <c r="GT287" s="179"/>
      <c r="GU287" s="179"/>
      <c r="GV287" s="179"/>
      <c r="GW287" s="179"/>
      <c r="GX287" s="179"/>
      <c r="GY287" s="179"/>
      <c r="GZ287" s="179"/>
      <c r="HA287" s="179"/>
      <c r="HB287" s="179"/>
      <c r="HC287" s="179"/>
      <c r="HD287" s="179"/>
      <c r="HE287" s="179"/>
      <c r="HF287" s="179"/>
      <c r="HG287" s="179"/>
      <c r="HH287" s="179"/>
      <c r="HI287" s="179"/>
      <c r="HJ287" s="179"/>
      <c r="HK287" s="179"/>
      <c r="HL287" s="179"/>
      <c r="HM287" s="179"/>
      <c r="HN287" s="179"/>
      <c r="HO287" s="179"/>
      <c r="HP287" s="179"/>
      <c r="HQ287" s="179"/>
      <c r="HR287" s="179"/>
      <c r="HS287" s="179"/>
      <c r="HT287" s="179"/>
      <c r="HU287" s="179"/>
      <c r="HV287" s="179"/>
      <c r="HW287" s="179"/>
      <c r="HX287" s="179"/>
      <c r="HY287" s="179"/>
      <c r="HZ287" s="179"/>
      <c r="IA287" s="179"/>
      <c r="IB287" s="179"/>
      <c r="IC287" s="179"/>
      <c r="ID287" s="179"/>
      <c r="IE287" s="179"/>
      <c r="IF287" s="179"/>
      <c r="IG287" s="179"/>
      <c r="IH287" s="179"/>
      <c r="II287" s="179"/>
      <c r="IJ287" s="179"/>
      <c r="IK287" s="179"/>
      <c r="IL287" s="179"/>
      <c r="IM287" s="179"/>
      <c r="IN287" s="179"/>
      <c r="IO287" s="179"/>
      <c r="IP287" s="179"/>
      <c r="IQ287" s="179"/>
      <c r="IR287" s="179"/>
    </row>
    <row r="288" spans="1:253">
      <c r="A288" s="218" t="s">
        <v>1123</v>
      </c>
      <c r="B288" s="193">
        <v>1128097.07</v>
      </c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179"/>
      <c r="AT288" s="179"/>
      <c r="AU288" s="179"/>
      <c r="AV288" s="179"/>
      <c r="AW288" s="179"/>
      <c r="AX288" s="179"/>
      <c r="AY288" s="179"/>
      <c r="AZ288" s="179"/>
      <c r="BA288" s="179"/>
      <c r="BB288" s="179"/>
      <c r="BC288" s="179"/>
      <c r="BD288" s="179"/>
      <c r="BE288" s="179"/>
      <c r="BF288" s="179"/>
      <c r="BG288" s="179"/>
      <c r="BH288" s="179"/>
      <c r="BI288" s="179"/>
      <c r="BJ288" s="179"/>
      <c r="BK288" s="179"/>
      <c r="BL288" s="179"/>
      <c r="BM288" s="179"/>
      <c r="BN288" s="179"/>
      <c r="BO288" s="179"/>
      <c r="BP288" s="179"/>
      <c r="BQ288" s="179"/>
      <c r="BR288" s="179"/>
      <c r="BS288" s="179"/>
      <c r="BT288" s="179"/>
      <c r="BU288" s="179"/>
      <c r="BV288" s="179"/>
      <c r="BW288" s="179"/>
      <c r="BX288" s="179"/>
      <c r="BY288" s="179"/>
      <c r="BZ288" s="179"/>
      <c r="CA288" s="179"/>
      <c r="CB288" s="179"/>
      <c r="CC288" s="179"/>
      <c r="CD288" s="179"/>
      <c r="CE288" s="179"/>
      <c r="CF288" s="179"/>
      <c r="CG288" s="179"/>
      <c r="CH288" s="179"/>
      <c r="CI288" s="179"/>
      <c r="CJ288" s="179"/>
      <c r="CK288" s="179"/>
      <c r="CL288" s="179"/>
      <c r="CM288" s="179"/>
      <c r="CN288" s="179"/>
      <c r="CO288" s="179"/>
      <c r="CP288" s="179"/>
      <c r="CQ288" s="179"/>
      <c r="CR288" s="179"/>
      <c r="CS288" s="179"/>
      <c r="CT288" s="179"/>
      <c r="CU288" s="179"/>
      <c r="CV288" s="179"/>
      <c r="CW288" s="179"/>
      <c r="CX288" s="179"/>
      <c r="CY288" s="179"/>
      <c r="CZ288" s="179"/>
      <c r="DA288" s="179"/>
      <c r="DB288" s="179"/>
      <c r="DC288" s="179"/>
      <c r="DD288" s="179"/>
      <c r="DE288" s="179"/>
      <c r="DF288" s="179"/>
      <c r="DG288" s="179"/>
      <c r="DH288" s="179"/>
      <c r="DI288" s="179"/>
      <c r="DJ288" s="179"/>
      <c r="DK288" s="179"/>
      <c r="DL288" s="179"/>
      <c r="DM288" s="179"/>
      <c r="DN288" s="179"/>
      <c r="DO288" s="179"/>
      <c r="DP288" s="179"/>
      <c r="DQ288" s="179"/>
      <c r="DR288" s="179"/>
      <c r="DS288" s="179"/>
      <c r="DT288" s="179"/>
      <c r="DU288" s="179"/>
      <c r="DV288" s="179"/>
      <c r="DW288" s="179"/>
      <c r="DX288" s="179"/>
      <c r="DY288" s="179"/>
      <c r="DZ288" s="179"/>
      <c r="EA288" s="179"/>
      <c r="EB288" s="179"/>
      <c r="EC288" s="179"/>
      <c r="ED288" s="179"/>
      <c r="EE288" s="179"/>
      <c r="EF288" s="179"/>
      <c r="EG288" s="179"/>
      <c r="EH288" s="179"/>
      <c r="EI288" s="179"/>
      <c r="EJ288" s="179"/>
      <c r="EK288" s="179"/>
      <c r="EL288" s="179"/>
      <c r="EM288" s="179"/>
      <c r="EN288" s="179"/>
      <c r="EO288" s="179"/>
      <c r="EP288" s="179"/>
      <c r="EQ288" s="179"/>
      <c r="ER288" s="179"/>
      <c r="ES288" s="179"/>
      <c r="ET288" s="179"/>
      <c r="EU288" s="179"/>
      <c r="EV288" s="179"/>
      <c r="EW288" s="179"/>
      <c r="EX288" s="179"/>
      <c r="EY288" s="179"/>
      <c r="EZ288" s="179"/>
      <c r="FA288" s="179"/>
      <c r="FB288" s="179"/>
      <c r="FC288" s="179"/>
      <c r="FD288" s="179"/>
      <c r="FE288" s="179"/>
      <c r="FF288" s="179"/>
      <c r="FG288" s="179"/>
      <c r="FH288" s="179"/>
      <c r="FI288" s="179"/>
      <c r="FJ288" s="179"/>
      <c r="FK288" s="179"/>
      <c r="FL288" s="179"/>
      <c r="FM288" s="179"/>
      <c r="FN288" s="179"/>
      <c r="FO288" s="179"/>
      <c r="FP288" s="179"/>
      <c r="FQ288" s="179"/>
      <c r="FR288" s="179"/>
      <c r="FS288" s="179"/>
      <c r="FT288" s="179"/>
      <c r="FU288" s="179"/>
      <c r="FV288" s="179"/>
      <c r="FW288" s="179"/>
      <c r="FX288" s="179"/>
      <c r="FY288" s="179"/>
      <c r="FZ288" s="179"/>
      <c r="GA288" s="179"/>
      <c r="GB288" s="179"/>
      <c r="GC288" s="179"/>
      <c r="GD288" s="179"/>
      <c r="GE288" s="179"/>
      <c r="GF288" s="179"/>
      <c r="GG288" s="179"/>
      <c r="GH288" s="179"/>
      <c r="GI288" s="179"/>
      <c r="GJ288" s="179"/>
      <c r="GK288" s="179"/>
      <c r="GL288" s="179"/>
      <c r="GM288" s="179"/>
      <c r="GN288" s="179"/>
      <c r="GO288" s="179"/>
      <c r="GP288" s="179"/>
      <c r="GQ288" s="179"/>
      <c r="GR288" s="179"/>
      <c r="GS288" s="179"/>
      <c r="GT288" s="179"/>
      <c r="GU288" s="179"/>
      <c r="GV288" s="179"/>
      <c r="GW288" s="179"/>
      <c r="GX288" s="179"/>
      <c r="GY288" s="179"/>
      <c r="GZ288" s="179"/>
      <c r="HA288" s="179"/>
      <c r="HB288" s="179"/>
      <c r="HC288" s="179"/>
      <c r="HD288" s="179"/>
      <c r="HE288" s="179"/>
      <c r="HF288" s="179"/>
      <c r="HG288" s="179"/>
      <c r="HH288" s="179"/>
      <c r="HI288" s="179"/>
      <c r="HJ288" s="179"/>
      <c r="HK288" s="179"/>
      <c r="HL288" s="179"/>
      <c r="HM288" s="179"/>
      <c r="HN288" s="179"/>
      <c r="HO288" s="179"/>
      <c r="HP288" s="179"/>
      <c r="HQ288" s="179"/>
      <c r="HR288" s="179"/>
      <c r="HS288" s="179"/>
      <c r="HT288" s="179"/>
      <c r="HU288" s="179"/>
      <c r="HV288" s="179"/>
      <c r="HW288" s="179"/>
      <c r="HX288" s="179"/>
      <c r="HY288" s="179"/>
      <c r="HZ288" s="179"/>
      <c r="IA288" s="179"/>
      <c r="IB288" s="179"/>
      <c r="IC288" s="179"/>
      <c r="ID288" s="179"/>
      <c r="IE288" s="179"/>
      <c r="IF288" s="179"/>
      <c r="IG288" s="179"/>
      <c r="IH288" s="179"/>
      <c r="II288" s="179"/>
      <c r="IJ288" s="179"/>
      <c r="IK288" s="179"/>
      <c r="IL288" s="179"/>
      <c r="IM288" s="179"/>
      <c r="IN288" s="179"/>
      <c r="IO288" s="179"/>
      <c r="IP288" s="179"/>
      <c r="IQ288" s="179"/>
      <c r="IR288" s="179"/>
    </row>
    <row r="289" spans="1:252">
      <c r="A289" s="218" t="s">
        <v>1602</v>
      </c>
      <c r="B289" s="193">
        <f>32160.12+5900.4</f>
        <v>38060.519999999997</v>
      </c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  <c r="AB289" s="179"/>
      <c r="AC289" s="179"/>
      <c r="AD289" s="179"/>
      <c r="AE289" s="179"/>
      <c r="AF289" s="179"/>
      <c r="AG289" s="179"/>
      <c r="AH289" s="179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179"/>
      <c r="AT289" s="179"/>
      <c r="AU289" s="179"/>
      <c r="AV289" s="179"/>
      <c r="AW289" s="179"/>
      <c r="AX289" s="179"/>
      <c r="AY289" s="179"/>
      <c r="AZ289" s="179"/>
      <c r="BA289" s="179"/>
      <c r="BB289" s="179"/>
      <c r="BC289" s="179"/>
      <c r="BD289" s="179"/>
      <c r="BE289" s="179"/>
      <c r="BF289" s="179"/>
      <c r="BG289" s="179"/>
      <c r="BH289" s="179"/>
      <c r="BI289" s="179"/>
      <c r="BJ289" s="179"/>
      <c r="BK289" s="179"/>
      <c r="BL289" s="179"/>
      <c r="BM289" s="179"/>
      <c r="BN289" s="179"/>
      <c r="BO289" s="179"/>
      <c r="BP289" s="179"/>
      <c r="BQ289" s="179"/>
      <c r="BR289" s="179"/>
      <c r="BS289" s="179"/>
      <c r="BT289" s="179"/>
      <c r="BU289" s="179"/>
      <c r="BV289" s="179"/>
      <c r="BW289" s="179"/>
      <c r="BX289" s="179"/>
      <c r="BY289" s="179"/>
      <c r="BZ289" s="179"/>
      <c r="CA289" s="179"/>
      <c r="CB289" s="179"/>
      <c r="CC289" s="179"/>
      <c r="CD289" s="179"/>
      <c r="CE289" s="179"/>
      <c r="CF289" s="179"/>
      <c r="CG289" s="179"/>
      <c r="CH289" s="179"/>
      <c r="CI289" s="179"/>
      <c r="CJ289" s="179"/>
      <c r="CK289" s="179"/>
      <c r="CL289" s="179"/>
      <c r="CM289" s="179"/>
      <c r="CN289" s="179"/>
      <c r="CO289" s="179"/>
      <c r="CP289" s="179"/>
      <c r="CQ289" s="179"/>
      <c r="CR289" s="179"/>
      <c r="CS289" s="179"/>
      <c r="CT289" s="179"/>
      <c r="CU289" s="179"/>
      <c r="CV289" s="179"/>
      <c r="CW289" s="179"/>
      <c r="CX289" s="179"/>
      <c r="CY289" s="179"/>
      <c r="CZ289" s="179"/>
      <c r="DA289" s="179"/>
      <c r="DB289" s="179"/>
      <c r="DC289" s="179"/>
      <c r="DD289" s="179"/>
      <c r="DE289" s="179"/>
      <c r="DF289" s="179"/>
      <c r="DG289" s="179"/>
      <c r="DH289" s="179"/>
      <c r="DI289" s="179"/>
      <c r="DJ289" s="179"/>
      <c r="DK289" s="179"/>
      <c r="DL289" s="179"/>
      <c r="DM289" s="179"/>
      <c r="DN289" s="179"/>
      <c r="DO289" s="179"/>
      <c r="DP289" s="179"/>
      <c r="DQ289" s="179"/>
      <c r="DR289" s="179"/>
      <c r="DS289" s="179"/>
      <c r="DT289" s="179"/>
      <c r="DU289" s="179"/>
      <c r="DV289" s="179"/>
      <c r="DW289" s="179"/>
      <c r="DX289" s="179"/>
      <c r="DY289" s="179"/>
      <c r="DZ289" s="179"/>
      <c r="EA289" s="179"/>
      <c r="EB289" s="179"/>
      <c r="EC289" s="179"/>
      <c r="ED289" s="179"/>
      <c r="EE289" s="179"/>
      <c r="EF289" s="179"/>
      <c r="EG289" s="179"/>
      <c r="EH289" s="179"/>
      <c r="EI289" s="179"/>
      <c r="EJ289" s="179"/>
      <c r="EK289" s="179"/>
      <c r="EL289" s="179"/>
      <c r="EM289" s="179"/>
      <c r="EN289" s="179"/>
      <c r="EO289" s="179"/>
      <c r="EP289" s="179"/>
      <c r="EQ289" s="179"/>
      <c r="ER289" s="179"/>
      <c r="ES289" s="179"/>
      <c r="ET289" s="179"/>
      <c r="EU289" s="179"/>
      <c r="EV289" s="179"/>
      <c r="EW289" s="179"/>
      <c r="EX289" s="179"/>
      <c r="EY289" s="179"/>
      <c r="EZ289" s="179"/>
      <c r="FA289" s="179"/>
      <c r="FB289" s="179"/>
      <c r="FC289" s="179"/>
      <c r="FD289" s="179"/>
      <c r="FE289" s="179"/>
      <c r="FF289" s="179"/>
      <c r="FG289" s="179"/>
      <c r="FH289" s="179"/>
      <c r="FI289" s="179"/>
      <c r="FJ289" s="179"/>
      <c r="FK289" s="179"/>
      <c r="FL289" s="179"/>
      <c r="FM289" s="179"/>
      <c r="FN289" s="179"/>
      <c r="FO289" s="179"/>
      <c r="FP289" s="179"/>
      <c r="FQ289" s="179"/>
      <c r="FR289" s="179"/>
      <c r="FS289" s="179"/>
      <c r="FT289" s="179"/>
      <c r="FU289" s="179"/>
      <c r="FV289" s="179"/>
      <c r="FW289" s="179"/>
      <c r="FX289" s="179"/>
      <c r="FY289" s="179"/>
      <c r="FZ289" s="179"/>
      <c r="GA289" s="179"/>
      <c r="GB289" s="179"/>
      <c r="GC289" s="179"/>
      <c r="GD289" s="179"/>
      <c r="GE289" s="179"/>
      <c r="GF289" s="179"/>
      <c r="GG289" s="179"/>
      <c r="GH289" s="179"/>
      <c r="GI289" s="179"/>
      <c r="GJ289" s="179"/>
      <c r="GK289" s="179"/>
      <c r="GL289" s="179"/>
      <c r="GM289" s="179"/>
      <c r="GN289" s="179"/>
      <c r="GO289" s="179"/>
      <c r="GP289" s="179"/>
      <c r="GQ289" s="179"/>
      <c r="GR289" s="179"/>
      <c r="GS289" s="179"/>
      <c r="GT289" s="179"/>
      <c r="GU289" s="179"/>
      <c r="GV289" s="179"/>
      <c r="GW289" s="179"/>
      <c r="GX289" s="179"/>
      <c r="GY289" s="179"/>
      <c r="GZ289" s="179"/>
      <c r="HA289" s="179"/>
      <c r="HB289" s="179"/>
      <c r="HC289" s="179"/>
      <c r="HD289" s="179"/>
      <c r="HE289" s="179"/>
      <c r="HF289" s="179"/>
      <c r="HG289" s="179"/>
      <c r="HH289" s="179"/>
      <c r="HI289" s="179"/>
      <c r="HJ289" s="179"/>
      <c r="HK289" s="179"/>
      <c r="HL289" s="179"/>
      <c r="HM289" s="179"/>
      <c r="HN289" s="179"/>
      <c r="HO289" s="179"/>
      <c r="HP289" s="179"/>
      <c r="HQ289" s="179"/>
      <c r="HR289" s="179"/>
      <c r="HS289" s="179"/>
      <c r="HT289" s="179"/>
      <c r="HU289" s="179"/>
      <c r="HV289" s="179"/>
      <c r="HW289" s="179"/>
      <c r="HX289" s="179"/>
      <c r="HY289" s="179"/>
      <c r="HZ289" s="179"/>
      <c r="IA289" s="179"/>
      <c r="IB289" s="179"/>
      <c r="IC289" s="179"/>
      <c r="ID289" s="179"/>
      <c r="IE289" s="179"/>
      <c r="IF289" s="179"/>
      <c r="IG289" s="179"/>
      <c r="IH289" s="179"/>
      <c r="II289" s="179"/>
      <c r="IJ289" s="179"/>
      <c r="IK289" s="179"/>
      <c r="IL289" s="179"/>
      <c r="IM289" s="179"/>
      <c r="IN289" s="179"/>
      <c r="IO289" s="179"/>
      <c r="IP289" s="179"/>
      <c r="IQ289" s="179"/>
      <c r="IR289" s="179"/>
    </row>
    <row r="290" spans="1:252">
      <c r="A290" s="218" t="s">
        <v>1598</v>
      </c>
      <c r="B290" s="193">
        <f>B287+B288+B289-B291-20000</f>
        <v>1026825.2400000001</v>
      </c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179"/>
      <c r="AT290" s="179"/>
      <c r="AU290" s="179"/>
      <c r="AV290" s="179"/>
      <c r="AW290" s="179"/>
      <c r="AX290" s="179"/>
      <c r="AY290" s="179"/>
      <c r="AZ290" s="179"/>
      <c r="BA290" s="179"/>
      <c r="BB290" s="179"/>
      <c r="BC290" s="179"/>
      <c r="BD290" s="179"/>
      <c r="BE290" s="179"/>
      <c r="BF290" s="179"/>
      <c r="BG290" s="179"/>
      <c r="BH290" s="179"/>
      <c r="BI290" s="179"/>
      <c r="BJ290" s="179"/>
      <c r="BK290" s="179"/>
      <c r="BL290" s="179"/>
      <c r="BM290" s="179"/>
      <c r="BN290" s="179"/>
      <c r="BO290" s="179"/>
      <c r="BP290" s="179"/>
      <c r="BQ290" s="179"/>
      <c r="BR290" s="179"/>
      <c r="BS290" s="179"/>
      <c r="BT290" s="179"/>
      <c r="BU290" s="179"/>
      <c r="BV290" s="179"/>
      <c r="BW290" s="179"/>
      <c r="BX290" s="179"/>
      <c r="BY290" s="179"/>
      <c r="BZ290" s="179"/>
      <c r="CA290" s="179"/>
      <c r="CB290" s="179"/>
      <c r="CC290" s="179"/>
      <c r="CD290" s="179"/>
      <c r="CE290" s="179"/>
      <c r="CF290" s="179"/>
      <c r="CG290" s="179"/>
      <c r="CH290" s="179"/>
      <c r="CI290" s="179"/>
      <c r="CJ290" s="179"/>
      <c r="CK290" s="179"/>
      <c r="CL290" s="179"/>
      <c r="CM290" s="179"/>
      <c r="CN290" s="179"/>
      <c r="CO290" s="179"/>
      <c r="CP290" s="179"/>
      <c r="CQ290" s="179"/>
      <c r="CR290" s="179"/>
      <c r="CS290" s="179"/>
      <c r="CT290" s="179"/>
      <c r="CU290" s="179"/>
      <c r="CV290" s="179"/>
      <c r="CW290" s="179"/>
      <c r="CX290" s="179"/>
      <c r="CY290" s="179"/>
      <c r="CZ290" s="179"/>
      <c r="DA290" s="179"/>
      <c r="DB290" s="179"/>
      <c r="DC290" s="179"/>
      <c r="DD290" s="179"/>
      <c r="DE290" s="179"/>
      <c r="DF290" s="179"/>
      <c r="DG290" s="179"/>
      <c r="DH290" s="179"/>
      <c r="DI290" s="179"/>
      <c r="DJ290" s="179"/>
      <c r="DK290" s="179"/>
      <c r="DL290" s="179"/>
      <c r="DM290" s="179"/>
      <c r="DN290" s="179"/>
      <c r="DO290" s="179"/>
      <c r="DP290" s="179"/>
      <c r="DQ290" s="179"/>
      <c r="DR290" s="179"/>
      <c r="DS290" s="179"/>
      <c r="DT290" s="179"/>
      <c r="DU290" s="179"/>
      <c r="DV290" s="179"/>
      <c r="DW290" s="179"/>
      <c r="DX290" s="179"/>
      <c r="DY290" s="179"/>
      <c r="DZ290" s="179"/>
      <c r="EA290" s="179"/>
      <c r="EB290" s="179"/>
      <c r="EC290" s="179"/>
      <c r="ED290" s="179"/>
      <c r="EE290" s="179"/>
      <c r="EF290" s="179"/>
      <c r="EG290" s="179"/>
      <c r="EH290" s="179"/>
      <c r="EI290" s="179"/>
      <c r="EJ290" s="179"/>
      <c r="EK290" s="179"/>
      <c r="EL290" s="179"/>
      <c r="EM290" s="179"/>
      <c r="EN290" s="179"/>
      <c r="EO290" s="179"/>
      <c r="EP290" s="179"/>
      <c r="EQ290" s="179"/>
      <c r="ER290" s="179"/>
      <c r="ES290" s="179"/>
      <c r="ET290" s="179"/>
      <c r="EU290" s="179"/>
      <c r="EV290" s="179"/>
      <c r="EW290" s="179"/>
      <c r="EX290" s="179"/>
      <c r="EY290" s="179"/>
      <c r="EZ290" s="179"/>
      <c r="FA290" s="179"/>
      <c r="FB290" s="179"/>
      <c r="FC290" s="179"/>
      <c r="FD290" s="179"/>
      <c r="FE290" s="179"/>
      <c r="FF290" s="179"/>
      <c r="FG290" s="179"/>
      <c r="FH290" s="179"/>
      <c r="FI290" s="179"/>
      <c r="FJ290" s="179"/>
      <c r="FK290" s="179"/>
      <c r="FL290" s="179"/>
      <c r="FM290" s="179"/>
      <c r="FN290" s="179"/>
      <c r="FO290" s="179"/>
      <c r="FP290" s="179"/>
      <c r="FQ290" s="179"/>
      <c r="FR290" s="179"/>
      <c r="FS290" s="179"/>
      <c r="FT290" s="179"/>
      <c r="FU290" s="179"/>
      <c r="FV290" s="179"/>
      <c r="FW290" s="179"/>
      <c r="FX290" s="179"/>
      <c r="FY290" s="179"/>
      <c r="FZ290" s="179"/>
      <c r="GA290" s="179"/>
      <c r="GB290" s="179"/>
      <c r="GC290" s="179"/>
      <c r="GD290" s="179"/>
      <c r="GE290" s="179"/>
      <c r="GF290" s="179"/>
      <c r="GG290" s="179"/>
      <c r="GH290" s="179"/>
      <c r="GI290" s="179"/>
      <c r="GJ290" s="179"/>
      <c r="GK290" s="179"/>
      <c r="GL290" s="179"/>
      <c r="GM290" s="179"/>
      <c r="GN290" s="179"/>
      <c r="GO290" s="179"/>
      <c r="GP290" s="179"/>
      <c r="GQ290" s="179"/>
      <c r="GR290" s="179"/>
      <c r="GS290" s="179"/>
      <c r="GT290" s="179"/>
      <c r="GU290" s="179"/>
      <c r="GV290" s="179"/>
      <c r="GW290" s="179"/>
      <c r="GX290" s="179"/>
      <c r="GY290" s="179"/>
      <c r="GZ290" s="179"/>
      <c r="HA290" s="179"/>
      <c r="HB290" s="179"/>
      <c r="HC290" s="179"/>
      <c r="HD290" s="179"/>
      <c r="HE290" s="179"/>
      <c r="HF290" s="179"/>
      <c r="HG290" s="179"/>
      <c r="HH290" s="179"/>
      <c r="HI290" s="179"/>
      <c r="HJ290" s="179"/>
      <c r="HK290" s="179"/>
      <c r="HL290" s="179"/>
      <c r="HM290" s="179"/>
      <c r="HN290" s="179"/>
      <c r="HO290" s="179"/>
      <c r="HP290" s="179"/>
      <c r="HQ290" s="179"/>
      <c r="HR290" s="179"/>
      <c r="HS290" s="179"/>
      <c r="HT290" s="179"/>
      <c r="HU290" s="179"/>
      <c r="HV290" s="179"/>
      <c r="HW290" s="179"/>
      <c r="HX290" s="179"/>
      <c r="HY290" s="179"/>
      <c r="HZ290" s="179"/>
      <c r="IA290" s="179"/>
      <c r="IB290" s="179"/>
      <c r="IC290" s="179"/>
      <c r="ID290" s="179"/>
      <c r="IE290" s="179"/>
      <c r="IF290" s="179"/>
      <c r="IG290" s="179"/>
      <c r="IH290" s="179"/>
      <c r="II290" s="179"/>
      <c r="IJ290" s="179"/>
      <c r="IK290" s="179"/>
      <c r="IL290" s="179"/>
      <c r="IM290" s="179"/>
      <c r="IN290" s="179"/>
      <c r="IO290" s="179"/>
      <c r="IP290" s="179"/>
      <c r="IQ290" s="179"/>
      <c r="IR290" s="179"/>
    </row>
    <row r="291" spans="1:252">
      <c r="A291" s="218" t="s">
        <v>1597</v>
      </c>
      <c r="B291" s="193">
        <v>373497.14</v>
      </c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  <c r="AA291" s="179"/>
      <c r="AB291" s="179"/>
      <c r="AC291" s="179"/>
      <c r="AD291" s="179"/>
      <c r="AE291" s="179"/>
      <c r="AF291" s="179"/>
      <c r="AG291" s="179"/>
      <c r="AH291" s="179"/>
      <c r="AI291" s="179"/>
      <c r="AJ291" s="179"/>
      <c r="AK291" s="179"/>
      <c r="AL291" s="179"/>
      <c r="AM291" s="179"/>
      <c r="AN291" s="179"/>
      <c r="AO291" s="179"/>
      <c r="AP291" s="179"/>
      <c r="AQ291" s="179"/>
      <c r="AR291" s="179"/>
      <c r="AS291" s="179"/>
      <c r="AT291" s="179"/>
      <c r="AU291" s="179"/>
      <c r="AV291" s="179"/>
      <c r="AW291" s="179"/>
      <c r="AX291" s="179"/>
      <c r="AY291" s="179"/>
      <c r="AZ291" s="179"/>
      <c r="BA291" s="179"/>
      <c r="BB291" s="179"/>
      <c r="BC291" s="179"/>
      <c r="BD291" s="179"/>
      <c r="BE291" s="179"/>
      <c r="BF291" s="179"/>
      <c r="BG291" s="179"/>
      <c r="BH291" s="179"/>
      <c r="BI291" s="179"/>
      <c r="BJ291" s="179"/>
      <c r="BK291" s="179"/>
      <c r="BL291" s="179"/>
      <c r="BM291" s="179"/>
      <c r="BN291" s="179"/>
      <c r="BO291" s="179"/>
      <c r="BP291" s="179"/>
      <c r="BQ291" s="179"/>
      <c r="BR291" s="179"/>
      <c r="BS291" s="179"/>
      <c r="BT291" s="179"/>
      <c r="BU291" s="179"/>
      <c r="BV291" s="179"/>
      <c r="BW291" s="179"/>
      <c r="BX291" s="179"/>
      <c r="BY291" s="179"/>
      <c r="BZ291" s="179"/>
      <c r="CA291" s="179"/>
      <c r="CB291" s="179"/>
      <c r="CC291" s="179"/>
      <c r="CD291" s="179"/>
      <c r="CE291" s="179"/>
      <c r="CF291" s="179"/>
      <c r="CG291" s="179"/>
      <c r="CH291" s="179"/>
      <c r="CI291" s="179"/>
      <c r="CJ291" s="179"/>
      <c r="CK291" s="179"/>
      <c r="CL291" s="179"/>
      <c r="CM291" s="179"/>
      <c r="CN291" s="179"/>
      <c r="CO291" s="179"/>
      <c r="CP291" s="179"/>
      <c r="CQ291" s="179"/>
      <c r="CR291" s="179"/>
      <c r="CS291" s="179"/>
      <c r="CT291" s="179"/>
      <c r="CU291" s="179"/>
      <c r="CV291" s="179"/>
      <c r="CW291" s="179"/>
      <c r="CX291" s="179"/>
      <c r="CY291" s="179"/>
      <c r="CZ291" s="179"/>
      <c r="DA291" s="179"/>
      <c r="DB291" s="179"/>
      <c r="DC291" s="179"/>
      <c r="DD291" s="179"/>
      <c r="DE291" s="179"/>
      <c r="DF291" s="179"/>
      <c r="DG291" s="179"/>
      <c r="DH291" s="179"/>
      <c r="DI291" s="179"/>
      <c r="DJ291" s="179"/>
      <c r="DK291" s="179"/>
      <c r="DL291" s="179"/>
      <c r="DM291" s="179"/>
      <c r="DN291" s="179"/>
      <c r="DO291" s="179"/>
      <c r="DP291" s="179"/>
      <c r="DQ291" s="179"/>
      <c r="DR291" s="179"/>
      <c r="DS291" s="179"/>
      <c r="DT291" s="179"/>
      <c r="DU291" s="179"/>
      <c r="DV291" s="179"/>
      <c r="DW291" s="179"/>
      <c r="DX291" s="179"/>
      <c r="DY291" s="179"/>
      <c r="DZ291" s="179"/>
      <c r="EA291" s="179"/>
      <c r="EB291" s="179"/>
      <c r="EC291" s="179"/>
      <c r="ED291" s="179"/>
      <c r="EE291" s="179"/>
      <c r="EF291" s="179"/>
      <c r="EG291" s="179"/>
      <c r="EH291" s="179"/>
      <c r="EI291" s="179"/>
      <c r="EJ291" s="179"/>
      <c r="EK291" s="179"/>
      <c r="EL291" s="179"/>
      <c r="EM291" s="179"/>
      <c r="EN291" s="179"/>
      <c r="EO291" s="179"/>
      <c r="EP291" s="179"/>
      <c r="EQ291" s="179"/>
      <c r="ER291" s="179"/>
      <c r="ES291" s="179"/>
      <c r="ET291" s="179"/>
      <c r="EU291" s="179"/>
      <c r="EV291" s="179"/>
      <c r="EW291" s="179"/>
      <c r="EX291" s="179"/>
      <c r="EY291" s="179"/>
      <c r="EZ291" s="179"/>
      <c r="FA291" s="179"/>
      <c r="FB291" s="179"/>
      <c r="FC291" s="179"/>
      <c r="FD291" s="179"/>
      <c r="FE291" s="179"/>
      <c r="FF291" s="179"/>
      <c r="FG291" s="179"/>
      <c r="FH291" s="179"/>
      <c r="FI291" s="179"/>
      <c r="FJ291" s="179"/>
      <c r="FK291" s="179"/>
      <c r="FL291" s="179"/>
      <c r="FM291" s="179"/>
      <c r="FN291" s="179"/>
      <c r="FO291" s="179"/>
      <c r="FP291" s="179"/>
      <c r="FQ291" s="179"/>
      <c r="FR291" s="179"/>
      <c r="FS291" s="179"/>
      <c r="FT291" s="179"/>
      <c r="FU291" s="179"/>
      <c r="FV291" s="179"/>
      <c r="FW291" s="179"/>
      <c r="FX291" s="179"/>
      <c r="FY291" s="179"/>
      <c r="FZ291" s="179"/>
      <c r="GA291" s="179"/>
      <c r="GB291" s="179"/>
      <c r="GC291" s="179"/>
      <c r="GD291" s="179"/>
      <c r="GE291" s="179"/>
      <c r="GF291" s="179"/>
      <c r="GG291" s="179"/>
      <c r="GH291" s="179"/>
      <c r="GI291" s="179"/>
      <c r="GJ291" s="179"/>
      <c r="GK291" s="179"/>
      <c r="GL291" s="179"/>
      <c r="GM291" s="179"/>
      <c r="GN291" s="179"/>
      <c r="GO291" s="179"/>
      <c r="GP291" s="179"/>
      <c r="GQ291" s="179"/>
      <c r="GR291" s="179"/>
      <c r="GS291" s="179"/>
      <c r="GT291" s="179"/>
      <c r="GU291" s="179"/>
      <c r="GV291" s="179"/>
      <c r="GW291" s="179"/>
      <c r="GX291" s="179"/>
      <c r="GY291" s="179"/>
      <c r="GZ291" s="179"/>
      <c r="HA291" s="179"/>
      <c r="HB291" s="179"/>
      <c r="HC291" s="179"/>
      <c r="HD291" s="179"/>
      <c r="HE291" s="179"/>
      <c r="HF291" s="179"/>
      <c r="HG291" s="179"/>
      <c r="HH291" s="179"/>
      <c r="HI291" s="179"/>
      <c r="HJ291" s="179"/>
      <c r="HK291" s="179"/>
      <c r="HL291" s="179"/>
      <c r="HM291" s="179"/>
      <c r="HN291" s="179"/>
      <c r="HO291" s="179"/>
      <c r="HP291" s="179"/>
      <c r="HQ291" s="179"/>
      <c r="HR291" s="179"/>
      <c r="HS291" s="179"/>
      <c r="HT291" s="179"/>
      <c r="HU291" s="179"/>
      <c r="HV291" s="179"/>
      <c r="HW291" s="179"/>
      <c r="HX291" s="179"/>
      <c r="HY291" s="179"/>
      <c r="HZ291" s="179"/>
      <c r="IA291" s="179"/>
      <c r="IB291" s="179"/>
      <c r="IC291" s="179"/>
      <c r="ID291" s="179"/>
      <c r="IE291" s="179"/>
      <c r="IF291" s="179"/>
      <c r="IG291" s="179"/>
      <c r="IH291" s="179"/>
      <c r="II291" s="179"/>
      <c r="IJ291" s="179"/>
      <c r="IK291" s="179"/>
      <c r="IL291" s="179"/>
      <c r="IM291" s="179"/>
      <c r="IN291" s="179"/>
      <c r="IO291" s="179"/>
      <c r="IP291" s="179"/>
      <c r="IQ291" s="179"/>
      <c r="IR291" s="179"/>
    </row>
    <row r="292" spans="1:252" ht="29.25" customHeight="1">
      <c r="A292" s="216" t="s">
        <v>2025</v>
      </c>
      <c r="B292" s="196">
        <f>B290</f>
        <v>1026825.2400000001</v>
      </c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  <c r="AA292" s="179"/>
      <c r="AB292" s="179"/>
      <c r="AC292" s="179"/>
      <c r="AD292" s="179"/>
      <c r="AE292" s="179"/>
      <c r="AF292" s="179"/>
      <c r="AG292" s="179"/>
      <c r="AH292" s="179"/>
      <c r="AI292" s="179"/>
      <c r="AJ292" s="179"/>
      <c r="AK292" s="179"/>
      <c r="AL292" s="179"/>
      <c r="AM292" s="179"/>
      <c r="AN292" s="179"/>
      <c r="AO292" s="179"/>
      <c r="AP292" s="179"/>
      <c r="AQ292" s="179"/>
      <c r="AR292" s="179"/>
      <c r="AS292" s="179"/>
      <c r="AT292" s="179"/>
      <c r="AU292" s="179"/>
      <c r="AV292" s="179"/>
      <c r="AW292" s="179"/>
      <c r="AX292" s="179"/>
      <c r="AY292" s="179"/>
      <c r="AZ292" s="179"/>
      <c r="BA292" s="179"/>
      <c r="BB292" s="179"/>
      <c r="BC292" s="179"/>
      <c r="BD292" s="179"/>
      <c r="BE292" s="179"/>
      <c r="BF292" s="179"/>
      <c r="BG292" s="179"/>
      <c r="BH292" s="179"/>
      <c r="BI292" s="179"/>
      <c r="BJ292" s="179"/>
      <c r="BK292" s="179"/>
      <c r="BL292" s="179"/>
      <c r="BM292" s="179"/>
      <c r="BN292" s="179"/>
      <c r="BO292" s="179"/>
      <c r="BP292" s="179"/>
      <c r="BQ292" s="179"/>
      <c r="BR292" s="179"/>
      <c r="BS292" s="179"/>
      <c r="BT292" s="179"/>
      <c r="BU292" s="179"/>
      <c r="BV292" s="179"/>
      <c r="BW292" s="179"/>
      <c r="BX292" s="179"/>
      <c r="BY292" s="179"/>
      <c r="BZ292" s="179"/>
      <c r="CA292" s="179"/>
      <c r="CB292" s="179"/>
      <c r="CC292" s="179"/>
      <c r="CD292" s="179"/>
      <c r="CE292" s="179"/>
      <c r="CF292" s="179"/>
      <c r="CG292" s="179"/>
      <c r="CH292" s="179"/>
      <c r="CI292" s="179"/>
      <c r="CJ292" s="179"/>
      <c r="CK292" s="179"/>
      <c r="CL292" s="179"/>
      <c r="CM292" s="179"/>
      <c r="CN292" s="179"/>
      <c r="CO292" s="179"/>
      <c r="CP292" s="179"/>
      <c r="CQ292" s="179"/>
      <c r="CR292" s="179"/>
      <c r="CS292" s="179"/>
      <c r="CT292" s="179"/>
      <c r="CU292" s="179"/>
      <c r="CV292" s="179"/>
      <c r="CW292" s="179"/>
      <c r="CX292" s="179"/>
      <c r="CY292" s="179"/>
      <c r="CZ292" s="179"/>
      <c r="DA292" s="179"/>
      <c r="DB292" s="179"/>
      <c r="DC292" s="179"/>
      <c r="DD292" s="179"/>
      <c r="DE292" s="179"/>
      <c r="DF292" s="179"/>
      <c r="DG292" s="179"/>
      <c r="DH292" s="179"/>
      <c r="DI292" s="179"/>
      <c r="DJ292" s="179"/>
      <c r="DK292" s="179"/>
      <c r="DL292" s="179"/>
      <c r="DM292" s="179"/>
      <c r="DN292" s="179"/>
      <c r="DO292" s="179"/>
      <c r="DP292" s="179"/>
      <c r="DQ292" s="179"/>
      <c r="DR292" s="179"/>
      <c r="DS292" s="179"/>
      <c r="DT292" s="179"/>
      <c r="DU292" s="179"/>
      <c r="DV292" s="179"/>
      <c r="DW292" s="179"/>
      <c r="DX292" s="179"/>
      <c r="DY292" s="179"/>
      <c r="DZ292" s="179"/>
      <c r="EA292" s="179"/>
      <c r="EB292" s="179"/>
      <c r="EC292" s="179"/>
      <c r="ED292" s="179"/>
      <c r="EE292" s="179"/>
      <c r="EF292" s="179"/>
      <c r="EG292" s="179"/>
      <c r="EH292" s="179"/>
      <c r="EI292" s="179"/>
      <c r="EJ292" s="179"/>
      <c r="EK292" s="179"/>
      <c r="EL292" s="179"/>
      <c r="EM292" s="179"/>
      <c r="EN292" s="179"/>
      <c r="EO292" s="179"/>
      <c r="EP292" s="179"/>
      <c r="EQ292" s="179"/>
      <c r="ER292" s="179"/>
      <c r="ES292" s="179"/>
      <c r="ET292" s="179"/>
      <c r="EU292" s="179"/>
      <c r="EV292" s="179"/>
      <c r="EW292" s="179"/>
      <c r="EX292" s="179"/>
      <c r="EY292" s="179"/>
      <c r="EZ292" s="179"/>
      <c r="FA292" s="179"/>
      <c r="FB292" s="179"/>
      <c r="FC292" s="179"/>
      <c r="FD292" s="179"/>
      <c r="FE292" s="179"/>
      <c r="FF292" s="179"/>
      <c r="FG292" s="179"/>
      <c r="FH292" s="179"/>
      <c r="FI292" s="179"/>
      <c r="FJ292" s="179"/>
      <c r="FK292" s="179"/>
      <c r="FL292" s="179"/>
      <c r="FM292" s="179"/>
      <c r="FN292" s="179"/>
      <c r="FO292" s="179"/>
      <c r="FP292" s="179"/>
      <c r="FQ292" s="179"/>
      <c r="FR292" s="179"/>
      <c r="FS292" s="179"/>
      <c r="FT292" s="179"/>
      <c r="FU292" s="179"/>
      <c r="FV292" s="179"/>
      <c r="FW292" s="179"/>
      <c r="FX292" s="179"/>
      <c r="FY292" s="179"/>
      <c r="FZ292" s="179"/>
      <c r="GA292" s="179"/>
      <c r="GB292" s="179"/>
      <c r="GC292" s="179"/>
      <c r="GD292" s="179"/>
      <c r="GE292" s="179"/>
      <c r="GF292" s="179"/>
      <c r="GG292" s="179"/>
      <c r="GH292" s="179"/>
      <c r="GI292" s="179"/>
      <c r="GJ292" s="179"/>
      <c r="GK292" s="179"/>
      <c r="GL292" s="179"/>
      <c r="GM292" s="179"/>
      <c r="GN292" s="179"/>
      <c r="GO292" s="179"/>
      <c r="GP292" s="179"/>
      <c r="GQ292" s="179"/>
      <c r="GR292" s="179"/>
      <c r="GS292" s="179"/>
      <c r="GT292" s="179"/>
      <c r="GU292" s="179"/>
      <c r="GV292" s="179"/>
      <c r="GW292" s="179"/>
      <c r="GX292" s="179"/>
      <c r="GY292" s="179"/>
      <c r="GZ292" s="179"/>
      <c r="HA292" s="179"/>
      <c r="HB292" s="179"/>
      <c r="HC292" s="179"/>
      <c r="HD292" s="179"/>
      <c r="HE292" s="179"/>
      <c r="HF292" s="179"/>
      <c r="HG292" s="179"/>
      <c r="HH292" s="179"/>
      <c r="HI292" s="179"/>
      <c r="HJ292" s="179"/>
      <c r="HK292" s="179"/>
      <c r="HL292" s="179"/>
      <c r="HM292" s="179"/>
      <c r="HN292" s="179"/>
      <c r="HO292" s="179"/>
      <c r="HP292" s="179"/>
      <c r="HQ292" s="179"/>
      <c r="HR292" s="179"/>
      <c r="HS292" s="179"/>
      <c r="HT292" s="179"/>
      <c r="HU292" s="179"/>
      <c r="HV292" s="179"/>
      <c r="HW292" s="179"/>
      <c r="HX292" s="179"/>
      <c r="HY292" s="179"/>
      <c r="HZ292" s="179"/>
      <c r="IA292" s="179"/>
      <c r="IB292" s="179"/>
      <c r="IC292" s="179"/>
      <c r="ID292" s="179"/>
      <c r="IE292" s="179"/>
      <c r="IF292" s="179"/>
      <c r="IG292" s="179"/>
      <c r="IH292" s="179"/>
      <c r="II292" s="179"/>
      <c r="IJ292" s="179"/>
      <c r="IK292" s="179"/>
      <c r="IL292" s="179"/>
      <c r="IM292" s="179"/>
      <c r="IN292" s="179"/>
      <c r="IO292" s="179"/>
      <c r="IP292" s="179"/>
      <c r="IQ292" s="179"/>
      <c r="IR292" s="179"/>
    </row>
    <row r="293" spans="1:252">
      <c r="A293" s="179"/>
      <c r="B293" s="213"/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  <c r="AA293" s="179"/>
      <c r="AB293" s="179"/>
      <c r="AC293" s="179"/>
      <c r="AD293" s="179"/>
      <c r="AE293" s="179"/>
      <c r="AF293" s="179"/>
      <c r="AG293" s="179"/>
      <c r="AH293" s="179"/>
      <c r="AI293" s="179"/>
      <c r="AJ293" s="179"/>
      <c r="AK293" s="179"/>
      <c r="AL293" s="179"/>
      <c r="AM293" s="179"/>
      <c r="AN293" s="179"/>
      <c r="AO293" s="179"/>
      <c r="AP293" s="179"/>
      <c r="AQ293" s="179"/>
      <c r="AR293" s="179"/>
      <c r="AS293" s="179"/>
      <c r="AT293" s="179"/>
      <c r="AU293" s="179"/>
      <c r="AV293" s="179"/>
      <c r="AW293" s="179"/>
      <c r="AX293" s="179"/>
      <c r="AY293" s="179"/>
      <c r="AZ293" s="179"/>
      <c r="BA293" s="179"/>
      <c r="BB293" s="179"/>
      <c r="BC293" s="179"/>
      <c r="BD293" s="179"/>
      <c r="BE293" s="179"/>
      <c r="BF293" s="179"/>
      <c r="BG293" s="179"/>
      <c r="BH293" s="179"/>
      <c r="BI293" s="179"/>
      <c r="BJ293" s="179"/>
      <c r="BK293" s="179"/>
      <c r="BL293" s="179"/>
      <c r="BM293" s="179"/>
      <c r="BN293" s="179"/>
      <c r="BO293" s="179"/>
      <c r="BP293" s="179"/>
      <c r="BQ293" s="179"/>
      <c r="BR293" s="179"/>
      <c r="BS293" s="179"/>
      <c r="BT293" s="179"/>
      <c r="BU293" s="179"/>
      <c r="BV293" s="179"/>
      <c r="BW293" s="179"/>
      <c r="BX293" s="179"/>
      <c r="BY293" s="179"/>
      <c r="BZ293" s="179"/>
      <c r="CA293" s="179"/>
      <c r="CB293" s="179"/>
      <c r="CC293" s="179"/>
      <c r="CD293" s="179"/>
      <c r="CE293" s="179"/>
      <c r="CF293" s="179"/>
      <c r="CG293" s="179"/>
      <c r="CH293" s="179"/>
      <c r="CI293" s="179"/>
      <c r="CJ293" s="179"/>
      <c r="CK293" s="179"/>
      <c r="CL293" s="179"/>
      <c r="CM293" s="179"/>
      <c r="CN293" s="179"/>
      <c r="CO293" s="179"/>
      <c r="CP293" s="179"/>
      <c r="CQ293" s="179"/>
      <c r="CR293" s="179"/>
      <c r="CS293" s="179"/>
      <c r="CT293" s="179"/>
      <c r="CU293" s="179"/>
      <c r="CV293" s="179"/>
      <c r="CW293" s="179"/>
      <c r="CX293" s="179"/>
      <c r="CY293" s="179"/>
      <c r="CZ293" s="179"/>
      <c r="DA293" s="179"/>
      <c r="DB293" s="179"/>
      <c r="DC293" s="179"/>
      <c r="DD293" s="179"/>
      <c r="DE293" s="179"/>
      <c r="DF293" s="179"/>
      <c r="DG293" s="179"/>
      <c r="DH293" s="179"/>
      <c r="DI293" s="179"/>
      <c r="DJ293" s="179"/>
      <c r="DK293" s="179"/>
      <c r="DL293" s="179"/>
      <c r="DM293" s="179"/>
      <c r="DN293" s="179"/>
      <c r="DO293" s="179"/>
      <c r="DP293" s="179"/>
      <c r="DQ293" s="179"/>
      <c r="DR293" s="179"/>
      <c r="DS293" s="179"/>
      <c r="DT293" s="179"/>
      <c r="DU293" s="179"/>
      <c r="DV293" s="179"/>
      <c r="DW293" s="179"/>
      <c r="DX293" s="179"/>
      <c r="DY293" s="179"/>
      <c r="DZ293" s="179"/>
      <c r="EA293" s="179"/>
      <c r="EB293" s="179"/>
      <c r="EC293" s="179"/>
      <c r="ED293" s="179"/>
      <c r="EE293" s="179"/>
      <c r="EF293" s="179"/>
      <c r="EG293" s="179"/>
      <c r="EH293" s="179"/>
      <c r="EI293" s="179"/>
      <c r="EJ293" s="179"/>
      <c r="EK293" s="179"/>
      <c r="EL293" s="179"/>
      <c r="EM293" s="179"/>
      <c r="EN293" s="179"/>
      <c r="EO293" s="179"/>
      <c r="EP293" s="179"/>
      <c r="EQ293" s="179"/>
      <c r="ER293" s="179"/>
      <c r="ES293" s="179"/>
      <c r="ET293" s="179"/>
      <c r="EU293" s="179"/>
      <c r="EV293" s="179"/>
      <c r="EW293" s="179"/>
      <c r="EX293" s="179"/>
      <c r="EY293" s="179"/>
      <c r="EZ293" s="179"/>
      <c r="FA293" s="179"/>
      <c r="FB293" s="179"/>
      <c r="FC293" s="179"/>
      <c r="FD293" s="179"/>
      <c r="FE293" s="179"/>
      <c r="FF293" s="179"/>
      <c r="FG293" s="179"/>
      <c r="FH293" s="179"/>
      <c r="FI293" s="179"/>
      <c r="FJ293" s="179"/>
      <c r="FK293" s="179"/>
      <c r="FL293" s="179"/>
      <c r="FM293" s="179"/>
      <c r="FN293" s="179"/>
      <c r="FO293" s="179"/>
      <c r="FP293" s="179"/>
      <c r="FQ293" s="179"/>
      <c r="FR293" s="179"/>
      <c r="FS293" s="179"/>
      <c r="FT293" s="179"/>
      <c r="FU293" s="179"/>
      <c r="FV293" s="179"/>
      <c r="FW293" s="179"/>
      <c r="FX293" s="179"/>
      <c r="FY293" s="179"/>
      <c r="FZ293" s="179"/>
      <c r="GA293" s="179"/>
      <c r="GB293" s="179"/>
      <c r="GC293" s="179"/>
      <c r="GD293" s="179"/>
      <c r="GE293" s="179"/>
      <c r="GF293" s="179"/>
      <c r="GG293" s="179"/>
      <c r="GH293" s="179"/>
      <c r="GI293" s="179"/>
      <c r="GJ293" s="179"/>
      <c r="GK293" s="179"/>
      <c r="GL293" s="179"/>
      <c r="GM293" s="179"/>
      <c r="GN293" s="179"/>
      <c r="GO293" s="179"/>
      <c r="GP293" s="179"/>
      <c r="GQ293" s="179"/>
      <c r="GR293" s="179"/>
      <c r="GS293" s="179"/>
      <c r="GT293" s="179"/>
      <c r="GU293" s="179"/>
      <c r="GV293" s="179"/>
      <c r="GW293" s="179"/>
      <c r="GX293" s="179"/>
      <c r="GY293" s="179"/>
      <c r="GZ293" s="179"/>
      <c r="HA293" s="179"/>
      <c r="HB293" s="179"/>
      <c r="HC293" s="179"/>
      <c r="HD293" s="179"/>
      <c r="HE293" s="179"/>
      <c r="HF293" s="179"/>
      <c r="HG293" s="179"/>
      <c r="HH293" s="179"/>
      <c r="HI293" s="179"/>
      <c r="HJ293" s="179"/>
      <c r="HK293" s="179"/>
      <c r="HL293" s="179"/>
      <c r="HM293" s="179"/>
      <c r="HN293" s="179"/>
      <c r="HO293" s="179"/>
      <c r="HP293" s="179"/>
      <c r="HQ293" s="179"/>
      <c r="HR293" s="179"/>
      <c r="HS293" s="179"/>
      <c r="HT293" s="179"/>
      <c r="HU293" s="179"/>
      <c r="HV293" s="179"/>
      <c r="HW293" s="179"/>
      <c r="HX293" s="179"/>
      <c r="HY293" s="179"/>
      <c r="HZ293" s="179"/>
      <c r="IA293" s="179"/>
      <c r="IB293" s="179"/>
      <c r="IC293" s="179"/>
      <c r="ID293" s="179"/>
      <c r="IE293" s="179"/>
      <c r="IF293" s="179"/>
      <c r="IG293" s="179"/>
      <c r="IH293" s="179"/>
      <c r="II293" s="179"/>
      <c r="IJ293" s="179"/>
      <c r="IK293" s="179"/>
      <c r="IL293" s="179"/>
      <c r="IM293" s="179"/>
      <c r="IN293" s="179"/>
      <c r="IO293" s="179"/>
      <c r="IP293" s="179"/>
      <c r="IQ293" s="179"/>
      <c r="IR293" s="179"/>
    </row>
    <row r="294" spans="1:252">
      <c r="A294" s="324" t="s">
        <v>1600</v>
      </c>
      <c r="B294" s="198">
        <f>B296+B298+B299+B300+B302+B304+B303+B297</f>
        <v>975780.42608357454</v>
      </c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79"/>
      <c r="AT294" s="179"/>
      <c r="AU294" s="179"/>
      <c r="AV294" s="179"/>
      <c r="AW294" s="179"/>
      <c r="AX294" s="179"/>
      <c r="AY294" s="179"/>
      <c r="AZ294" s="179"/>
      <c r="BA294" s="179"/>
      <c r="BB294" s="179"/>
      <c r="BC294" s="179"/>
      <c r="BD294" s="179"/>
      <c r="BE294" s="179"/>
      <c r="BF294" s="179"/>
      <c r="BG294" s="179"/>
      <c r="BH294" s="179"/>
      <c r="BI294" s="179"/>
      <c r="BJ294" s="179"/>
      <c r="BK294" s="179"/>
      <c r="BL294" s="179"/>
      <c r="BM294" s="179"/>
      <c r="BN294" s="179"/>
      <c r="BO294" s="179"/>
      <c r="BP294" s="179"/>
      <c r="BQ294" s="179"/>
      <c r="BR294" s="179"/>
      <c r="BS294" s="179"/>
      <c r="BT294" s="179"/>
      <c r="BU294" s="179"/>
      <c r="BV294" s="179"/>
      <c r="BW294" s="179"/>
      <c r="BX294" s="179"/>
      <c r="BY294" s="179"/>
      <c r="BZ294" s="179"/>
      <c r="CA294" s="179"/>
      <c r="CB294" s="179"/>
      <c r="CC294" s="179"/>
      <c r="CD294" s="179"/>
      <c r="CE294" s="179"/>
      <c r="CF294" s="179"/>
      <c r="CG294" s="179"/>
      <c r="CH294" s="179"/>
      <c r="CI294" s="179"/>
      <c r="CJ294" s="179"/>
      <c r="CK294" s="179"/>
      <c r="CL294" s="179"/>
      <c r="CM294" s="179"/>
      <c r="CN294" s="179"/>
      <c r="CO294" s="179"/>
      <c r="CP294" s="179"/>
      <c r="CQ294" s="179"/>
      <c r="CR294" s="179"/>
      <c r="CS294" s="179"/>
      <c r="CT294" s="179"/>
      <c r="CU294" s="179"/>
      <c r="CV294" s="179"/>
      <c r="CW294" s="179"/>
      <c r="CX294" s="179"/>
      <c r="CY294" s="179"/>
      <c r="CZ294" s="179"/>
      <c r="DA294" s="179"/>
      <c r="DB294" s="179"/>
      <c r="DC294" s="179"/>
      <c r="DD294" s="179"/>
      <c r="DE294" s="179"/>
      <c r="DF294" s="179"/>
      <c r="DG294" s="179"/>
      <c r="DH294" s="179"/>
      <c r="DI294" s="179"/>
      <c r="DJ294" s="179"/>
      <c r="DK294" s="179"/>
      <c r="DL294" s="179"/>
      <c r="DM294" s="179"/>
      <c r="DN294" s="179"/>
      <c r="DO294" s="179"/>
      <c r="DP294" s="179"/>
      <c r="DQ294" s="179"/>
      <c r="DR294" s="179"/>
      <c r="DS294" s="179"/>
      <c r="DT294" s="179"/>
      <c r="DU294" s="179"/>
      <c r="DV294" s="179"/>
      <c r="DW294" s="179"/>
      <c r="DX294" s="179"/>
      <c r="DY294" s="179"/>
      <c r="DZ294" s="179"/>
      <c r="EA294" s="179"/>
      <c r="EB294" s="179"/>
      <c r="EC294" s="179"/>
      <c r="ED294" s="179"/>
      <c r="EE294" s="179"/>
      <c r="EF294" s="179"/>
      <c r="EG294" s="179"/>
      <c r="EH294" s="179"/>
      <c r="EI294" s="179"/>
      <c r="EJ294" s="179"/>
      <c r="EK294" s="179"/>
      <c r="EL294" s="179"/>
      <c r="EM294" s="179"/>
      <c r="EN294" s="179"/>
      <c r="EO294" s="179"/>
      <c r="EP294" s="179"/>
      <c r="EQ294" s="179"/>
      <c r="ER294" s="179"/>
      <c r="ES294" s="179"/>
      <c r="ET294" s="179"/>
      <c r="EU294" s="179"/>
      <c r="EV294" s="179"/>
      <c r="EW294" s="179"/>
      <c r="EX294" s="179"/>
      <c r="EY294" s="179"/>
      <c r="EZ294" s="179"/>
      <c r="FA294" s="179"/>
      <c r="FB294" s="179"/>
      <c r="FC294" s="179"/>
      <c r="FD294" s="179"/>
      <c r="FE294" s="179"/>
      <c r="FF294" s="179"/>
      <c r="FG294" s="179"/>
      <c r="FH294" s="179"/>
      <c r="FI294" s="179"/>
      <c r="FJ294" s="179"/>
      <c r="FK294" s="179"/>
      <c r="FL294" s="179"/>
      <c r="FM294" s="179"/>
      <c r="FN294" s="179"/>
      <c r="FO294" s="179"/>
      <c r="FP294" s="179"/>
      <c r="FQ294" s="179"/>
      <c r="FR294" s="179"/>
      <c r="FS294" s="179"/>
      <c r="FT294" s="179"/>
      <c r="FU294" s="179"/>
      <c r="FV294" s="179"/>
      <c r="FW294" s="179"/>
      <c r="FX294" s="179"/>
      <c r="FY294" s="179"/>
      <c r="FZ294" s="179"/>
      <c r="GA294" s="179"/>
      <c r="GB294" s="179"/>
      <c r="GC294" s="179"/>
      <c r="GD294" s="179"/>
      <c r="GE294" s="179"/>
      <c r="GF294" s="179"/>
      <c r="GG294" s="179"/>
      <c r="GH294" s="179"/>
      <c r="GI294" s="179"/>
      <c r="GJ294" s="179"/>
      <c r="GK294" s="179"/>
      <c r="GL294" s="179"/>
      <c r="GM294" s="179"/>
      <c r="GN294" s="179"/>
      <c r="GO294" s="179"/>
      <c r="GP294" s="179"/>
      <c r="GQ294" s="179"/>
      <c r="GR294" s="179"/>
      <c r="GS294" s="179"/>
      <c r="GT294" s="179"/>
      <c r="GU294" s="179"/>
      <c r="GV294" s="179"/>
      <c r="GW294" s="179"/>
      <c r="GX294" s="179"/>
      <c r="GY294" s="179"/>
      <c r="GZ294" s="179"/>
      <c r="HA294" s="179"/>
      <c r="HB294" s="179"/>
      <c r="HC294" s="179"/>
      <c r="HD294" s="179"/>
      <c r="HE294" s="179"/>
      <c r="HF294" s="179"/>
      <c r="HG294" s="179"/>
      <c r="HH294" s="179"/>
      <c r="HI294" s="179"/>
      <c r="HJ294" s="179"/>
      <c r="HK294" s="179"/>
      <c r="HL294" s="179"/>
      <c r="HM294" s="179"/>
      <c r="HN294" s="179"/>
      <c r="HO294" s="179"/>
      <c r="HP294" s="179"/>
      <c r="HQ294" s="179"/>
      <c r="HR294" s="179"/>
      <c r="HS294" s="179"/>
      <c r="HT294" s="179"/>
      <c r="HU294" s="179"/>
      <c r="HV294" s="179"/>
      <c r="HW294" s="179"/>
      <c r="HX294" s="179"/>
      <c r="HY294" s="179"/>
      <c r="HZ294" s="179"/>
      <c r="IA294" s="179"/>
      <c r="IB294" s="179"/>
      <c r="IC294" s="179"/>
      <c r="ID294" s="179"/>
      <c r="IE294" s="179"/>
      <c r="IF294" s="179"/>
      <c r="IG294" s="179"/>
      <c r="IH294" s="179"/>
      <c r="II294" s="179"/>
      <c r="IJ294" s="179"/>
      <c r="IK294" s="179"/>
      <c r="IL294" s="179"/>
      <c r="IM294" s="179"/>
      <c r="IN294" s="179"/>
      <c r="IO294" s="179"/>
      <c r="IP294" s="179"/>
      <c r="IQ294" s="179"/>
      <c r="IR294" s="179"/>
    </row>
    <row r="295" spans="1:252">
      <c r="A295" s="325" t="s">
        <v>599</v>
      </c>
      <c r="B295" s="193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79"/>
      <c r="AT295" s="179"/>
      <c r="AU295" s="179"/>
      <c r="AV295" s="179"/>
      <c r="AW295" s="179"/>
      <c r="AX295" s="179"/>
      <c r="AY295" s="179"/>
      <c r="AZ295" s="179"/>
      <c r="BA295" s="179"/>
      <c r="BB295" s="179"/>
      <c r="BC295" s="179"/>
      <c r="BD295" s="179"/>
      <c r="BE295" s="179"/>
      <c r="BF295" s="179"/>
      <c r="BG295" s="179"/>
      <c r="BH295" s="179"/>
      <c r="BI295" s="179"/>
      <c r="BJ295" s="179"/>
      <c r="BK295" s="179"/>
      <c r="BL295" s="179"/>
      <c r="BM295" s="179"/>
      <c r="BN295" s="179"/>
      <c r="BO295" s="179"/>
      <c r="BP295" s="179"/>
      <c r="BQ295" s="179"/>
      <c r="BR295" s="179"/>
      <c r="BS295" s="179"/>
      <c r="BT295" s="179"/>
      <c r="BU295" s="179"/>
      <c r="BV295" s="179"/>
      <c r="BW295" s="179"/>
      <c r="BX295" s="179"/>
      <c r="BY295" s="179"/>
      <c r="BZ295" s="179"/>
      <c r="CA295" s="179"/>
      <c r="CB295" s="179"/>
      <c r="CC295" s="179"/>
      <c r="CD295" s="179"/>
      <c r="CE295" s="179"/>
      <c r="CF295" s="179"/>
      <c r="CG295" s="179"/>
      <c r="CH295" s="179"/>
      <c r="CI295" s="179"/>
      <c r="CJ295" s="179"/>
      <c r="CK295" s="179"/>
      <c r="CL295" s="179"/>
      <c r="CM295" s="179"/>
      <c r="CN295" s="179"/>
      <c r="CO295" s="179"/>
      <c r="CP295" s="179"/>
      <c r="CQ295" s="179"/>
      <c r="CR295" s="179"/>
      <c r="CS295" s="179"/>
      <c r="CT295" s="179"/>
      <c r="CU295" s="179"/>
      <c r="CV295" s="179"/>
      <c r="CW295" s="179"/>
      <c r="CX295" s="179"/>
      <c r="CY295" s="179"/>
      <c r="CZ295" s="179"/>
      <c r="DA295" s="179"/>
      <c r="DB295" s="179"/>
      <c r="DC295" s="179"/>
      <c r="DD295" s="179"/>
      <c r="DE295" s="179"/>
      <c r="DF295" s="179"/>
      <c r="DG295" s="179"/>
      <c r="DH295" s="179"/>
      <c r="DI295" s="179"/>
      <c r="DJ295" s="179"/>
      <c r="DK295" s="179"/>
      <c r="DL295" s="179"/>
      <c r="DM295" s="179"/>
      <c r="DN295" s="179"/>
      <c r="DO295" s="179"/>
      <c r="DP295" s="179"/>
      <c r="DQ295" s="179"/>
      <c r="DR295" s="179"/>
      <c r="DS295" s="179"/>
      <c r="DT295" s="179"/>
      <c r="DU295" s="179"/>
      <c r="DV295" s="179"/>
      <c r="DW295" s="179"/>
      <c r="DX295" s="179"/>
      <c r="DY295" s="179"/>
      <c r="DZ295" s="179"/>
      <c r="EA295" s="179"/>
      <c r="EB295" s="179"/>
      <c r="EC295" s="179"/>
      <c r="ED295" s="179"/>
      <c r="EE295" s="179"/>
      <c r="EF295" s="179"/>
      <c r="EG295" s="179"/>
      <c r="EH295" s="179"/>
      <c r="EI295" s="179"/>
      <c r="EJ295" s="179"/>
      <c r="EK295" s="179"/>
      <c r="EL295" s="179"/>
      <c r="EM295" s="179"/>
      <c r="EN295" s="179"/>
      <c r="EO295" s="179"/>
      <c r="EP295" s="179"/>
      <c r="EQ295" s="179"/>
      <c r="ER295" s="179"/>
      <c r="ES295" s="179"/>
      <c r="ET295" s="179"/>
      <c r="EU295" s="179"/>
      <c r="EV295" s="179"/>
      <c r="EW295" s="179"/>
      <c r="EX295" s="179"/>
      <c r="EY295" s="179"/>
      <c r="EZ295" s="179"/>
      <c r="FA295" s="179"/>
      <c r="FB295" s="179"/>
      <c r="FC295" s="179"/>
      <c r="FD295" s="179"/>
      <c r="FE295" s="179"/>
      <c r="FF295" s="179"/>
      <c r="FG295" s="179"/>
      <c r="FH295" s="179"/>
      <c r="FI295" s="179"/>
      <c r="FJ295" s="179"/>
      <c r="FK295" s="179"/>
      <c r="FL295" s="179"/>
      <c r="FM295" s="179"/>
      <c r="FN295" s="179"/>
      <c r="FO295" s="179"/>
      <c r="FP295" s="179"/>
      <c r="FQ295" s="179"/>
      <c r="FR295" s="179"/>
      <c r="FS295" s="179"/>
      <c r="FT295" s="179"/>
      <c r="FU295" s="179"/>
      <c r="FV295" s="179"/>
      <c r="FW295" s="179"/>
      <c r="FX295" s="179"/>
      <c r="FY295" s="179"/>
      <c r="FZ295" s="179"/>
      <c r="GA295" s="179"/>
      <c r="GB295" s="179"/>
      <c r="GC295" s="179"/>
      <c r="GD295" s="179"/>
      <c r="GE295" s="179"/>
      <c r="GF295" s="179"/>
      <c r="GG295" s="179"/>
      <c r="GH295" s="179"/>
      <c r="GI295" s="179"/>
      <c r="GJ295" s="179"/>
      <c r="GK295" s="179"/>
      <c r="GL295" s="179"/>
      <c r="GM295" s="179"/>
      <c r="GN295" s="179"/>
      <c r="GO295" s="179"/>
      <c r="GP295" s="179"/>
      <c r="GQ295" s="179"/>
      <c r="GR295" s="179"/>
      <c r="GS295" s="179"/>
      <c r="GT295" s="179"/>
      <c r="GU295" s="179"/>
      <c r="GV295" s="179"/>
      <c r="GW295" s="179"/>
      <c r="GX295" s="179"/>
      <c r="GY295" s="179"/>
      <c r="GZ295" s="179"/>
      <c r="HA295" s="179"/>
      <c r="HB295" s="179"/>
      <c r="HC295" s="179"/>
      <c r="HD295" s="179"/>
      <c r="HE295" s="179"/>
      <c r="HF295" s="179"/>
      <c r="HG295" s="179"/>
      <c r="HH295" s="179"/>
      <c r="HI295" s="179"/>
      <c r="HJ295" s="179"/>
      <c r="HK295" s="179"/>
      <c r="HL295" s="179"/>
      <c r="HM295" s="179"/>
      <c r="HN295" s="179"/>
      <c r="HO295" s="179"/>
      <c r="HP295" s="179"/>
      <c r="HQ295" s="179"/>
      <c r="HR295" s="179"/>
      <c r="HS295" s="179"/>
      <c r="HT295" s="179"/>
      <c r="HU295" s="179"/>
      <c r="HV295" s="179"/>
      <c r="HW295" s="179"/>
      <c r="HX295" s="179"/>
      <c r="HY295" s="179"/>
      <c r="HZ295" s="179"/>
      <c r="IA295" s="179"/>
      <c r="IB295" s="179"/>
      <c r="IC295" s="179"/>
      <c r="ID295" s="179"/>
      <c r="IE295" s="179"/>
      <c r="IF295" s="179"/>
      <c r="IG295" s="179"/>
      <c r="IH295" s="179"/>
      <c r="II295" s="179"/>
      <c r="IJ295" s="179"/>
      <c r="IK295" s="179"/>
      <c r="IL295" s="179"/>
      <c r="IM295" s="179"/>
      <c r="IN295" s="179"/>
      <c r="IO295" s="179"/>
      <c r="IP295" s="179"/>
      <c r="IQ295" s="179"/>
      <c r="IR295" s="179"/>
    </row>
    <row r="296" spans="1:252" s="466" customFormat="1">
      <c r="A296" s="325" t="s">
        <v>521</v>
      </c>
      <c r="B296" s="194">
        <f>959300/45797.5*B285*1.5</f>
        <v>160875.85108357441</v>
      </c>
      <c r="C296" s="465"/>
      <c r="D296" s="465"/>
      <c r="E296" s="465"/>
      <c r="F296" s="465"/>
      <c r="G296" s="465"/>
      <c r="H296" s="465"/>
      <c r="I296" s="465"/>
      <c r="J296" s="465"/>
      <c r="K296" s="465"/>
      <c r="L296" s="465"/>
      <c r="M296" s="465"/>
      <c r="N296" s="465"/>
      <c r="O296" s="465"/>
      <c r="P296" s="465"/>
      <c r="Q296" s="465"/>
      <c r="R296" s="465"/>
      <c r="S296" s="465"/>
      <c r="T296" s="465"/>
      <c r="U296" s="465"/>
      <c r="V296" s="465"/>
      <c r="W296" s="465"/>
      <c r="X296" s="465"/>
      <c r="Y296" s="465"/>
      <c r="Z296" s="465"/>
      <c r="AA296" s="465"/>
      <c r="AB296" s="465"/>
      <c r="AC296" s="465"/>
      <c r="AD296" s="465"/>
      <c r="AE296" s="465"/>
      <c r="AF296" s="465"/>
      <c r="AG296" s="465"/>
      <c r="AH296" s="465"/>
      <c r="AI296" s="465"/>
      <c r="AJ296" s="465"/>
      <c r="AK296" s="465"/>
      <c r="AL296" s="465"/>
      <c r="AM296" s="465"/>
      <c r="AN296" s="465"/>
      <c r="AO296" s="465"/>
      <c r="AP296" s="465"/>
      <c r="AQ296" s="465"/>
      <c r="AR296" s="465"/>
      <c r="AS296" s="465"/>
      <c r="AT296" s="465"/>
      <c r="AU296" s="465"/>
      <c r="AV296" s="465"/>
      <c r="AW296" s="465"/>
      <c r="AX296" s="465"/>
      <c r="AY296" s="465"/>
      <c r="AZ296" s="465"/>
      <c r="BA296" s="465"/>
      <c r="BB296" s="465"/>
      <c r="BC296" s="465"/>
      <c r="BD296" s="465"/>
      <c r="BE296" s="465"/>
      <c r="BF296" s="465"/>
      <c r="BG296" s="465"/>
      <c r="BH296" s="465"/>
      <c r="BI296" s="465"/>
      <c r="BJ296" s="465"/>
      <c r="BK296" s="465"/>
      <c r="BL296" s="465"/>
      <c r="BM296" s="465"/>
      <c r="BN296" s="465"/>
      <c r="BO296" s="465"/>
      <c r="BP296" s="465"/>
      <c r="BQ296" s="465"/>
      <c r="BR296" s="465"/>
      <c r="BS296" s="465"/>
      <c r="BT296" s="465"/>
      <c r="BU296" s="465"/>
      <c r="BV296" s="465"/>
      <c r="BW296" s="465"/>
      <c r="BX296" s="465"/>
      <c r="BY296" s="465"/>
      <c r="BZ296" s="465"/>
      <c r="CA296" s="465"/>
      <c r="CB296" s="465"/>
      <c r="CC296" s="465"/>
      <c r="CD296" s="465"/>
      <c r="CE296" s="465"/>
      <c r="CF296" s="465"/>
      <c r="CG296" s="465"/>
      <c r="CH296" s="465"/>
      <c r="CI296" s="465"/>
      <c r="CJ296" s="465"/>
      <c r="CK296" s="465"/>
      <c r="CL296" s="465"/>
      <c r="CM296" s="465"/>
      <c r="CN296" s="465"/>
      <c r="CO296" s="465"/>
      <c r="CP296" s="465"/>
      <c r="CQ296" s="465"/>
      <c r="CR296" s="465"/>
      <c r="CS296" s="465"/>
      <c r="CT296" s="465"/>
      <c r="CU296" s="465"/>
      <c r="CV296" s="465"/>
      <c r="CW296" s="465"/>
      <c r="CX296" s="465"/>
      <c r="CY296" s="465"/>
      <c r="CZ296" s="465"/>
      <c r="DA296" s="465"/>
      <c r="DB296" s="465"/>
      <c r="DC296" s="465"/>
      <c r="DD296" s="465"/>
      <c r="DE296" s="465"/>
      <c r="DF296" s="465"/>
      <c r="DG296" s="465"/>
      <c r="DH296" s="465"/>
      <c r="DI296" s="465"/>
      <c r="DJ296" s="465"/>
      <c r="DK296" s="465"/>
      <c r="DL296" s="465"/>
      <c r="DM296" s="465"/>
      <c r="DN296" s="465"/>
      <c r="DO296" s="465"/>
      <c r="DP296" s="465"/>
      <c r="DQ296" s="465"/>
      <c r="DR296" s="465"/>
      <c r="DS296" s="465"/>
      <c r="DT296" s="465"/>
      <c r="DU296" s="465"/>
      <c r="DV296" s="465"/>
      <c r="DW296" s="465"/>
      <c r="DX296" s="465"/>
      <c r="DY296" s="465"/>
      <c r="DZ296" s="465"/>
      <c r="EA296" s="465"/>
      <c r="EB296" s="465"/>
      <c r="EC296" s="465"/>
      <c r="ED296" s="465"/>
      <c r="EE296" s="465"/>
      <c r="EF296" s="465"/>
      <c r="EG296" s="465"/>
      <c r="EH296" s="465"/>
      <c r="EI296" s="465"/>
      <c r="EJ296" s="465"/>
      <c r="EK296" s="465"/>
      <c r="EL296" s="465"/>
      <c r="EM296" s="465"/>
      <c r="EN296" s="465"/>
      <c r="EO296" s="465"/>
      <c r="EP296" s="465"/>
      <c r="EQ296" s="465"/>
      <c r="ER296" s="465"/>
      <c r="ES296" s="465"/>
      <c r="ET296" s="465"/>
      <c r="EU296" s="465"/>
      <c r="EV296" s="465"/>
      <c r="EW296" s="465"/>
      <c r="EX296" s="465"/>
      <c r="EY296" s="465"/>
      <c r="EZ296" s="465"/>
      <c r="FA296" s="465"/>
      <c r="FB296" s="465"/>
      <c r="FC296" s="465"/>
      <c r="FD296" s="465"/>
      <c r="FE296" s="465"/>
      <c r="FF296" s="465"/>
      <c r="FG296" s="465"/>
      <c r="FH296" s="465"/>
      <c r="FI296" s="465"/>
      <c r="FJ296" s="465"/>
      <c r="FK296" s="465"/>
      <c r="FL296" s="465"/>
      <c r="FM296" s="465"/>
      <c r="FN296" s="465"/>
      <c r="FO296" s="465"/>
      <c r="FP296" s="465"/>
      <c r="FQ296" s="465"/>
      <c r="FR296" s="465"/>
      <c r="FS296" s="465"/>
      <c r="FT296" s="465"/>
      <c r="FU296" s="465"/>
      <c r="FV296" s="465"/>
      <c r="FW296" s="465"/>
      <c r="FX296" s="465"/>
      <c r="FY296" s="465"/>
      <c r="FZ296" s="465"/>
      <c r="GA296" s="465"/>
      <c r="GB296" s="465"/>
      <c r="GC296" s="465"/>
      <c r="GD296" s="465"/>
      <c r="GE296" s="465"/>
      <c r="GF296" s="465"/>
      <c r="GG296" s="465"/>
      <c r="GH296" s="465"/>
      <c r="GI296" s="465"/>
      <c r="GJ296" s="465"/>
      <c r="GK296" s="465"/>
      <c r="GL296" s="465"/>
      <c r="GM296" s="465"/>
      <c r="GN296" s="465"/>
      <c r="GO296" s="465"/>
      <c r="GP296" s="465"/>
      <c r="GQ296" s="465"/>
      <c r="GR296" s="465"/>
      <c r="GS296" s="465"/>
      <c r="GT296" s="465"/>
      <c r="GU296" s="465"/>
      <c r="GV296" s="465"/>
      <c r="GW296" s="465"/>
      <c r="GX296" s="465"/>
      <c r="GY296" s="465"/>
      <c r="GZ296" s="465"/>
      <c r="HA296" s="465"/>
      <c r="HB296" s="465"/>
      <c r="HC296" s="465"/>
      <c r="HD296" s="465"/>
      <c r="HE296" s="465"/>
      <c r="HF296" s="465"/>
      <c r="HG296" s="465"/>
      <c r="HH296" s="465"/>
      <c r="HI296" s="465"/>
      <c r="HJ296" s="465"/>
      <c r="HK296" s="465"/>
      <c r="HL296" s="465"/>
      <c r="HM296" s="465"/>
      <c r="HN296" s="465"/>
      <c r="HO296" s="465"/>
      <c r="HP296" s="465"/>
      <c r="HQ296" s="465"/>
      <c r="HR296" s="465"/>
      <c r="HS296" s="465"/>
      <c r="HT296" s="465"/>
      <c r="HU296" s="465"/>
      <c r="HV296" s="465"/>
      <c r="HW296" s="465"/>
      <c r="HX296" s="465"/>
      <c r="HY296" s="465"/>
      <c r="HZ296" s="465"/>
      <c r="IA296" s="465"/>
      <c r="IB296" s="465"/>
      <c r="IC296" s="465"/>
      <c r="ID296" s="465"/>
      <c r="IE296" s="465"/>
      <c r="IF296" s="465"/>
      <c r="IG296" s="465"/>
      <c r="IH296" s="465"/>
      <c r="II296" s="465"/>
      <c r="IJ296" s="465"/>
      <c r="IK296" s="465"/>
      <c r="IL296" s="465"/>
      <c r="IM296" s="465"/>
      <c r="IN296" s="465"/>
      <c r="IO296" s="465"/>
      <c r="IP296" s="465"/>
      <c r="IQ296" s="465"/>
      <c r="IR296" s="465"/>
    </row>
    <row r="297" spans="1:252" s="466" customFormat="1">
      <c r="A297" s="325" t="s">
        <v>987</v>
      </c>
      <c r="B297" s="194">
        <f>0.31*12*B285*1.5</f>
        <v>28570.715999999993</v>
      </c>
      <c r="C297" s="465"/>
      <c r="D297" s="465"/>
      <c r="E297" s="465"/>
      <c r="F297" s="465"/>
      <c r="G297" s="465"/>
      <c r="H297" s="465"/>
      <c r="I297" s="465"/>
      <c r="J297" s="465"/>
      <c r="K297" s="465"/>
      <c r="L297" s="465"/>
      <c r="M297" s="465"/>
      <c r="N297" s="465"/>
      <c r="O297" s="465"/>
      <c r="P297" s="465"/>
      <c r="Q297" s="465"/>
      <c r="R297" s="465"/>
      <c r="S297" s="465"/>
      <c r="T297" s="465"/>
      <c r="U297" s="465"/>
      <c r="V297" s="465"/>
      <c r="W297" s="465"/>
      <c r="X297" s="465"/>
      <c r="Y297" s="465"/>
      <c r="Z297" s="465"/>
      <c r="AA297" s="465"/>
      <c r="AB297" s="465"/>
      <c r="AC297" s="465"/>
      <c r="AD297" s="465"/>
      <c r="AE297" s="465"/>
      <c r="AF297" s="465"/>
      <c r="AG297" s="465"/>
      <c r="AH297" s="465"/>
      <c r="AI297" s="465"/>
      <c r="AJ297" s="465"/>
      <c r="AK297" s="465"/>
      <c r="AL297" s="465"/>
      <c r="AM297" s="465"/>
      <c r="AN297" s="465"/>
      <c r="AO297" s="465"/>
      <c r="AP297" s="465"/>
      <c r="AQ297" s="465"/>
      <c r="AR297" s="465"/>
      <c r="AS297" s="465"/>
      <c r="AT297" s="465"/>
      <c r="AU297" s="465"/>
      <c r="AV297" s="465"/>
      <c r="AW297" s="465"/>
      <c r="AX297" s="465"/>
      <c r="AY297" s="465"/>
      <c r="AZ297" s="465"/>
      <c r="BA297" s="465"/>
      <c r="BB297" s="465"/>
      <c r="BC297" s="465"/>
      <c r="BD297" s="465"/>
      <c r="BE297" s="465"/>
      <c r="BF297" s="465"/>
      <c r="BG297" s="465"/>
      <c r="BH297" s="465"/>
      <c r="BI297" s="465"/>
      <c r="BJ297" s="465"/>
      <c r="BK297" s="465"/>
      <c r="BL297" s="465"/>
      <c r="BM297" s="465"/>
      <c r="BN297" s="465"/>
      <c r="BO297" s="465"/>
      <c r="BP297" s="465"/>
      <c r="BQ297" s="465"/>
      <c r="BR297" s="465"/>
      <c r="BS297" s="465"/>
      <c r="BT297" s="465"/>
      <c r="BU297" s="465"/>
      <c r="BV297" s="465"/>
      <c r="BW297" s="465"/>
      <c r="BX297" s="465"/>
      <c r="BY297" s="465"/>
      <c r="BZ297" s="465"/>
      <c r="CA297" s="465"/>
      <c r="CB297" s="465"/>
      <c r="CC297" s="465"/>
      <c r="CD297" s="465"/>
      <c r="CE297" s="465"/>
      <c r="CF297" s="465"/>
      <c r="CG297" s="465"/>
      <c r="CH297" s="465"/>
      <c r="CI297" s="465"/>
      <c r="CJ297" s="465"/>
      <c r="CK297" s="465"/>
      <c r="CL297" s="465"/>
      <c r="CM297" s="465"/>
      <c r="CN297" s="465"/>
      <c r="CO297" s="465"/>
      <c r="CP297" s="465"/>
      <c r="CQ297" s="465"/>
      <c r="CR297" s="465"/>
      <c r="CS297" s="465"/>
      <c r="CT297" s="465"/>
      <c r="CU297" s="465"/>
      <c r="CV297" s="465"/>
      <c r="CW297" s="465"/>
      <c r="CX297" s="465"/>
      <c r="CY297" s="465"/>
      <c r="CZ297" s="465"/>
      <c r="DA297" s="465"/>
      <c r="DB297" s="465"/>
      <c r="DC297" s="465"/>
      <c r="DD297" s="465"/>
      <c r="DE297" s="465"/>
      <c r="DF297" s="465"/>
      <c r="DG297" s="465"/>
      <c r="DH297" s="465"/>
      <c r="DI297" s="465"/>
      <c r="DJ297" s="465"/>
      <c r="DK297" s="465"/>
      <c r="DL297" s="465"/>
      <c r="DM297" s="465"/>
      <c r="DN297" s="465"/>
      <c r="DO297" s="465"/>
      <c r="DP297" s="465"/>
      <c r="DQ297" s="465"/>
      <c r="DR297" s="465"/>
      <c r="DS297" s="465"/>
      <c r="DT297" s="465"/>
      <c r="DU297" s="465"/>
      <c r="DV297" s="465"/>
      <c r="DW297" s="465"/>
      <c r="DX297" s="465"/>
      <c r="DY297" s="465"/>
      <c r="DZ297" s="465"/>
      <c r="EA297" s="465"/>
      <c r="EB297" s="465"/>
      <c r="EC297" s="465"/>
      <c r="ED297" s="465"/>
      <c r="EE297" s="465"/>
      <c r="EF297" s="465"/>
      <c r="EG297" s="465"/>
      <c r="EH297" s="465"/>
      <c r="EI297" s="465"/>
      <c r="EJ297" s="465"/>
      <c r="EK297" s="465"/>
      <c r="EL297" s="465"/>
      <c r="EM297" s="465"/>
      <c r="EN297" s="465"/>
      <c r="EO297" s="465"/>
      <c r="EP297" s="465"/>
      <c r="EQ297" s="465"/>
      <c r="ER297" s="465"/>
      <c r="ES297" s="465"/>
      <c r="ET297" s="465"/>
      <c r="EU297" s="465"/>
      <c r="EV297" s="465"/>
      <c r="EW297" s="465"/>
      <c r="EX297" s="465"/>
      <c r="EY297" s="465"/>
      <c r="EZ297" s="465"/>
      <c r="FA297" s="465"/>
      <c r="FB297" s="465"/>
      <c r="FC297" s="465"/>
      <c r="FD297" s="465"/>
      <c r="FE297" s="465"/>
      <c r="FF297" s="465"/>
      <c r="FG297" s="465"/>
      <c r="FH297" s="465"/>
      <c r="FI297" s="465"/>
      <c r="FJ297" s="465"/>
      <c r="FK297" s="465"/>
      <c r="FL297" s="465"/>
      <c r="FM297" s="465"/>
      <c r="FN297" s="465"/>
      <c r="FO297" s="465"/>
      <c r="FP297" s="465"/>
      <c r="FQ297" s="465"/>
      <c r="FR297" s="465"/>
      <c r="FS297" s="465"/>
      <c r="FT297" s="465"/>
      <c r="FU297" s="465"/>
      <c r="FV297" s="465"/>
      <c r="FW297" s="465"/>
      <c r="FX297" s="465"/>
      <c r="FY297" s="465"/>
      <c r="FZ297" s="465"/>
      <c r="GA297" s="465"/>
      <c r="GB297" s="465"/>
      <c r="GC297" s="465"/>
      <c r="GD297" s="465"/>
      <c r="GE297" s="465"/>
      <c r="GF297" s="465"/>
      <c r="GG297" s="465"/>
      <c r="GH297" s="465"/>
      <c r="GI297" s="465"/>
      <c r="GJ297" s="465"/>
      <c r="GK297" s="465"/>
      <c r="GL297" s="465"/>
      <c r="GM297" s="465"/>
      <c r="GN297" s="465"/>
      <c r="GO297" s="465"/>
      <c r="GP297" s="465"/>
      <c r="GQ297" s="465"/>
      <c r="GR297" s="465"/>
      <c r="GS297" s="465"/>
      <c r="GT297" s="465"/>
      <c r="GU297" s="465"/>
      <c r="GV297" s="465"/>
      <c r="GW297" s="465"/>
      <c r="GX297" s="465"/>
      <c r="GY297" s="465"/>
      <c r="GZ297" s="465"/>
      <c r="HA297" s="465"/>
      <c r="HB297" s="465"/>
      <c r="HC297" s="465"/>
      <c r="HD297" s="465"/>
      <c r="HE297" s="465"/>
      <c r="HF297" s="465"/>
      <c r="HG297" s="465"/>
      <c r="HH297" s="465"/>
      <c r="HI297" s="465"/>
      <c r="HJ297" s="465"/>
      <c r="HK297" s="465"/>
      <c r="HL297" s="465"/>
      <c r="HM297" s="465"/>
      <c r="HN297" s="465"/>
      <c r="HO297" s="465"/>
      <c r="HP297" s="465"/>
      <c r="HQ297" s="465"/>
      <c r="HR297" s="465"/>
      <c r="HS297" s="465"/>
      <c r="HT297" s="465"/>
      <c r="HU297" s="465"/>
      <c r="HV297" s="465"/>
      <c r="HW297" s="465"/>
      <c r="HX297" s="465"/>
      <c r="HY297" s="465"/>
      <c r="HZ297" s="465"/>
      <c r="IA297" s="465"/>
      <c r="IB297" s="465"/>
      <c r="IC297" s="465"/>
      <c r="ID297" s="465"/>
      <c r="IE297" s="465"/>
      <c r="IF297" s="465"/>
      <c r="IG297" s="465"/>
      <c r="IH297" s="465"/>
      <c r="II297" s="465"/>
      <c r="IJ297" s="465"/>
      <c r="IK297" s="465"/>
      <c r="IL297" s="465"/>
      <c r="IM297" s="465"/>
      <c r="IN297" s="465"/>
      <c r="IO297" s="465"/>
      <c r="IP297" s="465"/>
      <c r="IQ297" s="465"/>
      <c r="IR297" s="465"/>
    </row>
    <row r="298" spans="1:252" s="466" customFormat="1">
      <c r="A298" s="325" t="s">
        <v>520</v>
      </c>
      <c r="B298" s="194">
        <f>0.89*12*B285*1.5</f>
        <v>82025.603999999992</v>
      </c>
      <c r="C298" s="465"/>
      <c r="D298" s="465"/>
      <c r="E298" s="465"/>
      <c r="F298" s="465"/>
      <c r="G298" s="465"/>
      <c r="H298" s="465"/>
      <c r="I298" s="465"/>
      <c r="J298" s="465"/>
      <c r="K298" s="465"/>
      <c r="L298" s="465"/>
      <c r="M298" s="465"/>
      <c r="N298" s="465"/>
      <c r="O298" s="465"/>
      <c r="P298" s="465"/>
      <c r="Q298" s="465"/>
      <c r="R298" s="465"/>
      <c r="S298" s="465"/>
      <c r="T298" s="465"/>
      <c r="U298" s="465"/>
      <c r="V298" s="465"/>
      <c r="W298" s="465"/>
      <c r="X298" s="465"/>
      <c r="Y298" s="465"/>
      <c r="Z298" s="465"/>
      <c r="AA298" s="465"/>
      <c r="AB298" s="465"/>
      <c r="AC298" s="465"/>
      <c r="AD298" s="465"/>
      <c r="AE298" s="465"/>
      <c r="AF298" s="465"/>
      <c r="AG298" s="465"/>
      <c r="AH298" s="465"/>
      <c r="AI298" s="465"/>
      <c r="AJ298" s="465"/>
      <c r="AK298" s="465"/>
      <c r="AL298" s="465"/>
      <c r="AM298" s="465"/>
      <c r="AN298" s="465"/>
      <c r="AO298" s="465"/>
      <c r="AP298" s="465"/>
      <c r="AQ298" s="465"/>
      <c r="AR298" s="465"/>
      <c r="AS298" s="465"/>
      <c r="AT298" s="465"/>
      <c r="AU298" s="465"/>
      <c r="AV298" s="465"/>
      <c r="AW298" s="465"/>
      <c r="AX298" s="465"/>
      <c r="AY298" s="465"/>
      <c r="AZ298" s="465"/>
      <c r="BA298" s="465"/>
      <c r="BB298" s="465"/>
      <c r="BC298" s="465"/>
      <c r="BD298" s="465"/>
      <c r="BE298" s="465"/>
      <c r="BF298" s="465"/>
      <c r="BG298" s="465"/>
      <c r="BH298" s="465"/>
      <c r="BI298" s="465"/>
      <c r="BJ298" s="465"/>
      <c r="BK298" s="465"/>
      <c r="BL298" s="465"/>
      <c r="BM298" s="465"/>
      <c r="BN298" s="465"/>
      <c r="BO298" s="465"/>
      <c r="BP298" s="465"/>
      <c r="BQ298" s="465"/>
      <c r="BR298" s="465"/>
      <c r="BS298" s="465"/>
      <c r="BT298" s="465"/>
      <c r="BU298" s="465"/>
      <c r="BV298" s="465"/>
      <c r="BW298" s="465"/>
      <c r="BX298" s="465"/>
      <c r="BY298" s="465"/>
      <c r="BZ298" s="465"/>
      <c r="CA298" s="465"/>
      <c r="CB298" s="465"/>
      <c r="CC298" s="465"/>
      <c r="CD298" s="465"/>
      <c r="CE298" s="465"/>
      <c r="CF298" s="465"/>
      <c r="CG298" s="465"/>
      <c r="CH298" s="465"/>
      <c r="CI298" s="465"/>
      <c r="CJ298" s="465"/>
      <c r="CK298" s="465"/>
      <c r="CL298" s="465"/>
      <c r="CM298" s="465"/>
      <c r="CN298" s="465"/>
      <c r="CO298" s="465"/>
      <c r="CP298" s="465"/>
      <c r="CQ298" s="465"/>
      <c r="CR298" s="465"/>
      <c r="CS298" s="465"/>
      <c r="CT298" s="465"/>
      <c r="CU298" s="465"/>
      <c r="CV298" s="465"/>
      <c r="CW298" s="465"/>
      <c r="CX298" s="465"/>
      <c r="CY298" s="465"/>
      <c r="CZ298" s="465"/>
      <c r="DA298" s="465"/>
      <c r="DB298" s="465"/>
      <c r="DC298" s="465"/>
      <c r="DD298" s="465"/>
      <c r="DE298" s="465"/>
      <c r="DF298" s="465"/>
      <c r="DG298" s="465"/>
      <c r="DH298" s="465"/>
      <c r="DI298" s="465"/>
      <c r="DJ298" s="465"/>
      <c r="DK298" s="465"/>
      <c r="DL298" s="465"/>
      <c r="DM298" s="465"/>
      <c r="DN298" s="465"/>
      <c r="DO298" s="465"/>
      <c r="DP298" s="465"/>
      <c r="DQ298" s="465"/>
      <c r="DR298" s="465"/>
      <c r="DS298" s="465"/>
      <c r="DT298" s="465"/>
      <c r="DU298" s="465"/>
      <c r="DV298" s="465"/>
      <c r="DW298" s="465"/>
      <c r="DX298" s="465"/>
      <c r="DY298" s="465"/>
      <c r="DZ298" s="465"/>
      <c r="EA298" s="465"/>
      <c r="EB298" s="465"/>
      <c r="EC298" s="465"/>
      <c r="ED298" s="465"/>
      <c r="EE298" s="465"/>
      <c r="EF298" s="465"/>
      <c r="EG298" s="465"/>
      <c r="EH298" s="465"/>
      <c r="EI298" s="465"/>
      <c r="EJ298" s="465"/>
      <c r="EK298" s="465"/>
      <c r="EL298" s="465"/>
      <c r="EM298" s="465"/>
      <c r="EN298" s="465"/>
      <c r="EO298" s="465"/>
      <c r="EP298" s="465"/>
      <c r="EQ298" s="465"/>
      <c r="ER298" s="465"/>
      <c r="ES298" s="465"/>
      <c r="ET298" s="465"/>
      <c r="EU298" s="465"/>
      <c r="EV298" s="465"/>
      <c r="EW298" s="465"/>
      <c r="EX298" s="465"/>
      <c r="EY298" s="465"/>
      <c r="EZ298" s="465"/>
      <c r="FA298" s="465"/>
      <c r="FB298" s="465"/>
      <c r="FC298" s="465"/>
      <c r="FD298" s="465"/>
      <c r="FE298" s="465"/>
      <c r="FF298" s="465"/>
      <c r="FG298" s="465"/>
      <c r="FH298" s="465"/>
      <c r="FI298" s="465"/>
      <c r="FJ298" s="465"/>
      <c r="FK298" s="465"/>
      <c r="FL298" s="465"/>
      <c r="FM298" s="465"/>
      <c r="FN298" s="465"/>
      <c r="FO298" s="465"/>
      <c r="FP298" s="465"/>
      <c r="FQ298" s="465"/>
      <c r="FR298" s="465"/>
      <c r="FS298" s="465"/>
      <c r="FT298" s="465"/>
      <c r="FU298" s="465"/>
      <c r="FV298" s="465"/>
      <c r="FW298" s="465"/>
      <c r="FX298" s="465"/>
      <c r="FY298" s="465"/>
      <c r="FZ298" s="465"/>
      <c r="GA298" s="465"/>
      <c r="GB298" s="465"/>
      <c r="GC298" s="465"/>
      <c r="GD298" s="465"/>
      <c r="GE298" s="465"/>
      <c r="GF298" s="465"/>
      <c r="GG298" s="465"/>
      <c r="GH298" s="465"/>
      <c r="GI298" s="465"/>
      <c r="GJ298" s="465"/>
      <c r="GK298" s="465"/>
      <c r="GL298" s="465"/>
      <c r="GM298" s="465"/>
      <c r="GN298" s="465"/>
      <c r="GO298" s="465"/>
      <c r="GP298" s="465"/>
      <c r="GQ298" s="465"/>
      <c r="GR298" s="465"/>
      <c r="GS298" s="465"/>
      <c r="GT298" s="465"/>
      <c r="GU298" s="465"/>
      <c r="GV298" s="465"/>
      <c r="GW298" s="465"/>
      <c r="GX298" s="465"/>
      <c r="GY298" s="465"/>
      <c r="GZ298" s="465"/>
      <c r="HA298" s="465"/>
      <c r="HB298" s="465"/>
      <c r="HC298" s="465"/>
      <c r="HD298" s="465"/>
      <c r="HE298" s="465"/>
      <c r="HF298" s="465"/>
      <c r="HG298" s="465"/>
      <c r="HH298" s="465"/>
      <c r="HI298" s="465"/>
      <c r="HJ298" s="465"/>
      <c r="HK298" s="465"/>
      <c r="HL298" s="465"/>
      <c r="HM298" s="465"/>
      <c r="HN298" s="465"/>
      <c r="HO298" s="465"/>
      <c r="HP298" s="465"/>
      <c r="HQ298" s="465"/>
      <c r="HR298" s="465"/>
      <c r="HS298" s="465"/>
      <c r="HT298" s="465"/>
      <c r="HU298" s="465"/>
      <c r="HV298" s="465"/>
      <c r="HW298" s="465"/>
      <c r="HX298" s="465"/>
      <c r="HY298" s="465"/>
      <c r="HZ298" s="465"/>
      <c r="IA298" s="465"/>
      <c r="IB298" s="465"/>
      <c r="IC298" s="465"/>
      <c r="ID298" s="465"/>
      <c r="IE298" s="465"/>
      <c r="IF298" s="465"/>
      <c r="IG298" s="465"/>
      <c r="IH298" s="465"/>
      <c r="II298" s="465"/>
      <c r="IJ298" s="465"/>
      <c r="IK298" s="465"/>
      <c r="IL298" s="465"/>
      <c r="IM298" s="465"/>
      <c r="IN298" s="465"/>
      <c r="IO298" s="465"/>
      <c r="IP298" s="465"/>
      <c r="IQ298" s="465"/>
      <c r="IR298" s="465"/>
    </row>
    <row r="299" spans="1:252">
      <c r="A299" s="325" t="s">
        <v>2027</v>
      </c>
      <c r="B299" s="194">
        <f>9915*2*1.5</f>
        <v>29745</v>
      </c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79"/>
      <c r="AT299" s="179"/>
      <c r="AU299" s="179"/>
      <c r="AV299" s="179"/>
      <c r="AW299" s="179"/>
      <c r="AX299" s="179"/>
      <c r="AY299" s="179"/>
      <c r="AZ299" s="179"/>
      <c r="BA299" s="179"/>
      <c r="BB299" s="179"/>
      <c r="BC299" s="179"/>
      <c r="BD299" s="179"/>
      <c r="BE299" s="179"/>
      <c r="BF299" s="179"/>
      <c r="BG299" s="179"/>
      <c r="BH299" s="179"/>
      <c r="BI299" s="179"/>
      <c r="BJ299" s="179"/>
      <c r="BK299" s="179"/>
      <c r="BL299" s="179"/>
      <c r="BM299" s="179"/>
      <c r="BN299" s="179"/>
      <c r="BO299" s="179"/>
      <c r="BP299" s="179"/>
      <c r="BQ299" s="179"/>
      <c r="BR299" s="179"/>
      <c r="BS299" s="179"/>
      <c r="BT299" s="179"/>
      <c r="BU299" s="179"/>
      <c r="BV299" s="179"/>
      <c r="BW299" s="179"/>
      <c r="BX299" s="179"/>
      <c r="BY299" s="179"/>
      <c r="BZ299" s="179"/>
      <c r="CA299" s="179"/>
      <c r="CB299" s="179"/>
      <c r="CC299" s="179"/>
      <c r="CD299" s="179"/>
      <c r="CE299" s="179"/>
      <c r="CF299" s="179"/>
      <c r="CG299" s="179"/>
      <c r="CH299" s="179"/>
      <c r="CI299" s="179"/>
      <c r="CJ299" s="179"/>
      <c r="CK299" s="179"/>
      <c r="CL299" s="179"/>
      <c r="CM299" s="179"/>
      <c r="CN299" s="179"/>
      <c r="CO299" s="179"/>
      <c r="CP299" s="179"/>
      <c r="CQ299" s="179"/>
      <c r="CR299" s="179"/>
      <c r="CS299" s="179"/>
      <c r="CT299" s="179"/>
      <c r="CU299" s="179"/>
      <c r="CV299" s="179"/>
      <c r="CW299" s="179"/>
      <c r="CX299" s="179"/>
      <c r="CY299" s="179"/>
      <c r="CZ299" s="179"/>
      <c r="DA299" s="179"/>
      <c r="DB299" s="179"/>
      <c r="DC299" s="179"/>
      <c r="DD299" s="179"/>
      <c r="DE299" s="179"/>
      <c r="DF299" s="179"/>
      <c r="DG299" s="179"/>
      <c r="DH299" s="179"/>
      <c r="DI299" s="179"/>
      <c r="DJ299" s="179"/>
      <c r="DK299" s="179"/>
      <c r="DL299" s="179"/>
      <c r="DM299" s="179"/>
      <c r="DN299" s="179"/>
      <c r="DO299" s="179"/>
      <c r="DP299" s="179"/>
      <c r="DQ299" s="179"/>
      <c r="DR299" s="179"/>
      <c r="DS299" s="179"/>
      <c r="DT299" s="179"/>
      <c r="DU299" s="179"/>
      <c r="DV299" s="179"/>
      <c r="DW299" s="179"/>
      <c r="DX299" s="179"/>
      <c r="DY299" s="179"/>
      <c r="DZ299" s="179"/>
      <c r="EA299" s="179"/>
      <c r="EB299" s="179"/>
      <c r="EC299" s="179"/>
      <c r="ED299" s="179"/>
      <c r="EE299" s="179"/>
      <c r="EF299" s="179"/>
      <c r="EG299" s="179"/>
      <c r="EH299" s="179"/>
      <c r="EI299" s="179"/>
      <c r="EJ299" s="179"/>
      <c r="EK299" s="179"/>
      <c r="EL299" s="179"/>
      <c r="EM299" s="179"/>
      <c r="EN299" s="179"/>
      <c r="EO299" s="179"/>
      <c r="EP299" s="179"/>
      <c r="EQ299" s="179"/>
      <c r="ER299" s="179"/>
      <c r="ES299" s="179"/>
      <c r="ET299" s="179"/>
      <c r="EU299" s="179"/>
      <c r="EV299" s="179"/>
      <c r="EW299" s="179"/>
      <c r="EX299" s="179"/>
      <c r="EY299" s="179"/>
      <c r="EZ299" s="179"/>
      <c r="FA299" s="179"/>
      <c r="FB299" s="179"/>
      <c r="FC299" s="179"/>
      <c r="FD299" s="179"/>
      <c r="FE299" s="179"/>
      <c r="FF299" s="179"/>
      <c r="FG299" s="179"/>
      <c r="FH299" s="179"/>
      <c r="FI299" s="179"/>
      <c r="FJ299" s="179"/>
      <c r="FK299" s="179"/>
      <c r="FL299" s="179"/>
      <c r="FM299" s="179"/>
      <c r="FN299" s="179"/>
      <c r="FO299" s="179"/>
      <c r="FP299" s="179"/>
      <c r="FQ299" s="179"/>
      <c r="FR299" s="179"/>
      <c r="FS299" s="179"/>
      <c r="FT299" s="179"/>
      <c r="FU299" s="179"/>
      <c r="FV299" s="179"/>
      <c r="FW299" s="179"/>
      <c r="FX299" s="179"/>
      <c r="FY299" s="179"/>
      <c r="FZ299" s="179"/>
      <c r="GA299" s="179"/>
      <c r="GB299" s="179"/>
      <c r="GC299" s="179"/>
      <c r="GD299" s="179"/>
      <c r="GE299" s="179"/>
      <c r="GF299" s="179"/>
      <c r="GG299" s="179"/>
      <c r="GH299" s="179"/>
      <c r="GI299" s="179"/>
      <c r="GJ299" s="179"/>
      <c r="GK299" s="179"/>
      <c r="GL299" s="179"/>
      <c r="GM299" s="179"/>
      <c r="GN299" s="179"/>
      <c r="GO299" s="179"/>
      <c r="GP299" s="179"/>
      <c r="GQ299" s="179"/>
      <c r="GR299" s="179"/>
      <c r="GS299" s="179"/>
      <c r="GT299" s="179"/>
      <c r="GU299" s="179"/>
      <c r="GV299" s="179"/>
      <c r="GW299" s="179"/>
      <c r="GX299" s="179"/>
      <c r="GY299" s="179"/>
      <c r="GZ299" s="179"/>
      <c r="HA299" s="179"/>
      <c r="HB299" s="179"/>
      <c r="HC299" s="179"/>
      <c r="HD299" s="179"/>
      <c r="HE299" s="179"/>
      <c r="HF299" s="179"/>
      <c r="HG299" s="179"/>
      <c r="HH299" s="179"/>
      <c r="HI299" s="179"/>
      <c r="HJ299" s="179"/>
      <c r="HK299" s="179"/>
      <c r="HL299" s="179"/>
      <c r="HM299" s="179"/>
      <c r="HN299" s="179"/>
      <c r="HO299" s="179"/>
      <c r="HP299" s="179"/>
      <c r="HQ299" s="179"/>
      <c r="HR299" s="179"/>
      <c r="HS299" s="179"/>
      <c r="HT299" s="179"/>
      <c r="HU299" s="179"/>
      <c r="HV299" s="179"/>
      <c r="HW299" s="179"/>
      <c r="HX299" s="179"/>
      <c r="HY299" s="179"/>
      <c r="HZ299" s="179"/>
      <c r="IA299" s="179"/>
      <c r="IB299" s="179"/>
      <c r="IC299" s="179"/>
      <c r="ID299" s="179"/>
      <c r="IE299" s="179"/>
      <c r="IF299" s="179"/>
      <c r="IG299" s="179"/>
      <c r="IH299" s="179"/>
      <c r="II299" s="179"/>
      <c r="IJ299" s="179"/>
      <c r="IK299" s="179"/>
      <c r="IL299" s="179"/>
      <c r="IM299" s="179"/>
      <c r="IN299" s="179"/>
      <c r="IO299" s="179"/>
      <c r="IP299" s="179"/>
      <c r="IQ299" s="179"/>
      <c r="IR299" s="179"/>
    </row>
    <row r="300" spans="1:252" s="466" customFormat="1">
      <c r="A300" s="325" t="s">
        <v>601</v>
      </c>
      <c r="B300" s="194">
        <f>1.8*9100*13*1.302*1.5</f>
        <v>415871.82</v>
      </c>
      <c r="C300" s="465"/>
      <c r="D300" s="465"/>
      <c r="E300" s="465"/>
      <c r="F300" s="465"/>
      <c r="G300" s="465"/>
      <c r="H300" s="465"/>
      <c r="I300" s="465"/>
      <c r="J300" s="465"/>
      <c r="K300" s="465"/>
      <c r="L300" s="465"/>
      <c r="M300" s="465"/>
      <c r="N300" s="465"/>
      <c r="O300" s="465"/>
      <c r="P300" s="465"/>
      <c r="Q300" s="465"/>
      <c r="R300" s="465"/>
      <c r="S300" s="465"/>
      <c r="T300" s="465"/>
      <c r="U300" s="465"/>
      <c r="V300" s="465"/>
      <c r="W300" s="465"/>
      <c r="X300" s="465"/>
      <c r="Y300" s="465"/>
      <c r="Z300" s="465"/>
      <c r="AA300" s="465"/>
      <c r="AB300" s="465"/>
      <c r="AC300" s="465"/>
      <c r="AD300" s="465"/>
      <c r="AE300" s="465"/>
      <c r="AF300" s="465"/>
      <c r="AG300" s="465"/>
      <c r="AH300" s="465"/>
      <c r="AI300" s="465"/>
      <c r="AJ300" s="465"/>
      <c r="AK300" s="465"/>
      <c r="AL300" s="465"/>
      <c r="AM300" s="465"/>
      <c r="AN300" s="465"/>
      <c r="AO300" s="465"/>
      <c r="AP300" s="465"/>
      <c r="AQ300" s="465"/>
      <c r="AR300" s="465"/>
      <c r="AS300" s="465"/>
      <c r="AT300" s="465"/>
      <c r="AU300" s="465"/>
      <c r="AV300" s="465"/>
      <c r="AW300" s="465"/>
      <c r="AX300" s="465"/>
      <c r="AY300" s="465"/>
      <c r="AZ300" s="465"/>
      <c r="BA300" s="465"/>
      <c r="BB300" s="465"/>
      <c r="BC300" s="465"/>
      <c r="BD300" s="465"/>
      <c r="BE300" s="465"/>
      <c r="BF300" s="465"/>
      <c r="BG300" s="465"/>
      <c r="BH300" s="465"/>
      <c r="BI300" s="465"/>
      <c r="BJ300" s="465"/>
      <c r="BK300" s="465"/>
      <c r="BL300" s="465"/>
      <c r="BM300" s="465"/>
      <c r="BN300" s="465"/>
      <c r="BO300" s="465"/>
      <c r="BP300" s="465"/>
      <c r="BQ300" s="465"/>
      <c r="BR300" s="465"/>
      <c r="BS300" s="465"/>
      <c r="BT300" s="465"/>
      <c r="BU300" s="465"/>
      <c r="BV300" s="465"/>
      <c r="BW300" s="465"/>
      <c r="BX300" s="465"/>
      <c r="BY300" s="465"/>
      <c r="BZ300" s="465"/>
      <c r="CA300" s="465"/>
      <c r="CB300" s="465"/>
      <c r="CC300" s="465"/>
      <c r="CD300" s="465"/>
      <c r="CE300" s="465"/>
      <c r="CF300" s="465"/>
      <c r="CG300" s="465"/>
      <c r="CH300" s="465"/>
      <c r="CI300" s="465"/>
      <c r="CJ300" s="465"/>
      <c r="CK300" s="465"/>
      <c r="CL300" s="465"/>
      <c r="CM300" s="465"/>
      <c r="CN300" s="465"/>
      <c r="CO300" s="465"/>
      <c r="CP300" s="465"/>
      <c r="CQ300" s="465"/>
      <c r="CR300" s="465"/>
      <c r="CS300" s="465"/>
      <c r="CT300" s="465"/>
      <c r="CU300" s="465"/>
      <c r="CV300" s="465"/>
      <c r="CW300" s="465"/>
      <c r="CX300" s="465"/>
      <c r="CY300" s="465"/>
      <c r="CZ300" s="465"/>
      <c r="DA300" s="465"/>
      <c r="DB300" s="465"/>
      <c r="DC300" s="465"/>
      <c r="DD300" s="465"/>
      <c r="DE300" s="465"/>
      <c r="DF300" s="465"/>
      <c r="DG300" s="465"/>
      <c r="DH300" s="465"/>
      <c r="DI300" s="465"/>
      <c r="DJ300" s="465"/>
      <c r="DK300" s="465"/>
      <c r="DL300" s="465"/>
      <c r="DM300" s="465"/>
      <c r="DN300" s="465"/>
      <c r="DO300" s="465"/>
      <c r="DP300" s="465"/>
      <c r="DQ300" s="465"/>
      <c r="DR300" s="465"/>
      <c r="DS300" s="465"/>
      <c r="DT300" s="465"/>
      <c r="DU300" s="465"/>
      <c r="DV300" s="465"/>
      <c r="DW300" s="465"/>
      <c r="DX300" s="465"/>
      <c r="DY300" s="465"/>
      <c r="DZ300" s="465"/>
      <c r="EA300" s="465"/>
      <c r="EB300" s="465"/>
      <c r="EC300" s="465"/>
      <c r="ED300" s="465"/>
      <c r="EE300" s="465"/>
      <c r="EF300" s="465"/>
      <c r="EG300" s="465"/>
      <c r="EH300" s="465"/>
      <c r="EI300" s="465"/>
      <c r="EJ300" s="465"/>
      <c r="EK300" s="465"/>
      <c r="EL300" s="465"/>
      <c r="EM300" s="465"/>
      <c r="EN300" s="465"/>
      <c r="EO300" s="465"/>
      <c r="EP300" s="465"/>
      <c r="EQ300" s="465"/>
      <c r="ER300" s="465"/>
      <c r="ES300" s="465"/>
      <c r="ET300" s="465"/>
      <c r="EU300" s="465"/>
      <c r="EV300" s="465"/>
      <c r="EW300" s="465"/>
      <c r="EX300" s="465"/>
      <c r="EY300" s="465"/>
      <c r="EZ300" s="465"/>
      <c r="FA300" s="465"/>
      <c r="FB300" s="465"/>
      <c r="FC300" s="465"/>
      <c r="FD300" s="465"/>
      <c r="FE300" s="465"/>
      <c r="FF300" s="465"/>
      <c r="FG300" s="465"/>
      <c r="FH300" s="465"/>
      <c r="FI300" s="465"/>
      <c r="FJ300" s="465"/>
      <c r="FK300" s="465"/>
      <c r="FL300" s="465"/>
      <c r="FM300" s="465"/>
      <c r="FN300" s="465"/>
      <c r="FO300" s="465"/>
      <c r="FP300" s="465"/>
      <c r="FQ300" s="465"/>
      <c r="FR300" s="465"/>
      <c r="FS300" s="465"/>
      <c r="FT300" s="465"/>
      <c r="FU300" s="465"/>
      <c r="FV300" s="465"/>
      <c r="FW300" s="465"/>
      <c r="FX300" s="465"/>
      <c r="FY300" s="465"/>
      <c r="FZ300" s="465"/>
      <c r="GA300" s="465"/>
      <c r="GB300" s="465"/>
      <c r="GC300" s="465"/>
      <c r="GD300" s="465"/>
      <c r="GE300" s="465"/>
      <c r="GF300" s="465"/>
      <c r="GG300" s="465"/>
      <c r="GH300" s="465"/>
      <c r="GI300" s="465"/>
      <c r="GJ300" s="465"/>
      <c r="GK300" s="465"/>
      <c r="GL300" s="465"/>
      <c r="GM300" s="465"/>
      <c r="GN300" s="465"/>
      <c r="GO300" s="465"/>
      <c r="GP300" s="465"/>
      <c r="GQ300" s="465"/>
      <c r="GR300" s="465"/>
      <c r="GS300" s="465"/>
      <c r="GT300" s="465"/>
      <c r="GU300" s="465"/>
      <c r="GV300" s="465"/>
      <c r="GW300" s="465"/>
      <c r="GX300" s="465"/>
      <c r="GY300" s="465"/>
      <c r="GZ300" s="465"/>
      <c r="HA300" s="465"/>
      <c r="HB300" s="465"/>
      <c r="HC300" s="465"/>
      <c r="HD300" s="465"/>
      <c r="HE300" s="465"/>
      <c r="HF300" s="465"/>
      <c r="HG300" s="465"/>
      <c r="HH300" s="465"/>
      <c r="HI300" s="465"/>
      <c r="HJ300" s="465"/>
      <c r="HK300" s="465"/>
      <c r="HL300" s="465"/>
      <c r="HM300" s="465"/>
      <c r="HN300" s="465"/>
      <c r="HO300" s="465"/>
      <c r="HP300" s="465"/>
      <c r="HQ300" s="465"/>
      <c r="HR300" s="465"/>
      <c r="HS300" s="465"/>
      <c r="HT300" s="465"/>
      <c r="HU300" s="465"/>
      <c r="HV300" s="465"/>
      <c r="HW300" s="465"/>
      <c r="HX300" s="465"/>
      <c r="HY300" s="465"/>
      <c r="HZ300" s="465"/>
      <c r="IA300" s="465"/>
      <c r="IB300" s="465"/>
      <c r="IC300" s="465"/>
      <c r="ID300" s="465"/>
      <c r="IE300" s="465"/>
      <c r="IF300" s="465"/>
      <c r="IG300" s="465"/>
      <c r="IH300" s="465"/>
      <c r="II300" s="465"/>
      <c r="IJ300" s="465"/>
      <c r="IK300" s="465"/>
      <c r="IL300" s="465"/>
      <c r="IM300" s="465"/>
      <c r="IN300" s="465"/>
      <c r="IO300" s="465"/>
      <c r="IP300" s="465"/>
      <c r="IQ300" s="465"/>
      <c r="IR300" s="465"/>
    </row>
    <row r="301" spans="1:252">
      <c r="A301" s="325" t="s">
        <v>602</v>
      </c>
      <c r="B301" s="194">
        <f>B282</f>
        <v>629.5</v>
      </c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79"/>
      <c r="AT301" s="179"/>
      <c r="AU301" s="179"/>
      <c r="AV301" s="179"/>
      <c r="AW301" s="179"/>
      <c r="AX301" s="179"/>
      <c r="AY301" s="179"/>
      <c r="AZ301" s="179"/>
      <c r="BA301" s="179"/>
      <c r="BB301" s="179"/>
      <c r="BC301" s="179"/>
      <c r="BD301" s="179"/>
      <c r="BE301" s="179"/>
      <c r="BF301" s="179"/>
      <c r="BG301" s="179"/>
      <c r="BH301" s="179"/>
      <c r="BI301" s="179"/>
      <c r="BJ301" s="179"/>
      <c r="BK301" s="179"/>
      <c r="BL301" s="179"/>
      <c r="BM301" s="179"/>
      <c r="BN301" s="179"/>
      <c r="BO301" s="179"/>
      <c r="BP301" s="179"/>
      <c r="BQ301" s="179"/>
      <c r="BR301" s="179"/>
      <c r="BS301" s="179"/>
      <c r="BT301" s="179"/>
      <c r="BU301" s="179"/>
      <c r="BV301" s="179"/>
      <c r="BW301" s="179"/>
      <c r="BX301" s="179"/>
      <c r="BY301" s="179"/>
      <c r="BZ301" s="179"/>
      <c r="CA301" s="179"/>
      <c r="CB301" s="179"/>
      <c r="CC301" s="179"/>
      <c r="CD301" s="179"/>
      <c r="CE301" s="179"/>
      <c r="CF301" s="179"/>
      <c r="CG301" s="179"/>
      <c r="CH301" s="179"/>
      <c r="CI301" s="179"/>
      <c r="CJ301" s="179"/>
      <c r="CK301" s="179"/>
      <c r="CL301" s="179"/>
      <c r="CM301" s="179"/>
      <c r="CN301" s="179"/>
      <c r="CO301" s="179"/>
      <c r="CP301" s="179"/>
      <c r="CQ301" s="179"/>
      <c r="CR301" s="179"/>
      <c r="CS301" s="179"/>
      <c r="CT301" s="179"/>
      <c r="CU301" s="179"/>
      <c r="CV301" s="179"/>
      <c r="CW301" s="179"/>
      <c r="CX301" s="179"/>
      <c r="CY301" s="179"/>
      <c r="CZ301" s="179"/>
      <c r="DA301" s="179"/>
      <c r="DB301" s="179"/>
      <c r="DC301" s="179"/>
      <c r="DD301" s="179"/>
      <c r="DE301" s="179"/>
      <c r="DF301" s="179"/>
      <c r="DG301" s="179"/>
      <c r="DH301" s="179"/>
      <c r="DI301" s="179"/>
      <c r="DJ301" s="179"/>
      <c r="DK301" s="179"/>
      <c r="DL301" s="179"/>
      <c r="DM301" s="179"/>
      <c r="DN301" s="179"/>
      <c r="DO301" s="179"/>
      <c r="DP301" s="179"/>
      <c r="DQ301" s="179"/>
      <c r="DR301" s="179"/>
      <c r="DS301" s="179"/>
      <c r="DT301" s="179"/>
      <c r="DU301" s="179"/>
      <c r="DV301" s="179"/>
      <c r="DW301" s="179"/>
      <c r="DX301" s="179"/>
      <c r="DY301" s="179"/>
      <c r="DZ301" s="179"/>
      <c r="EA301" s="179"/>
      <c r="EB301" s="179"/>
      <c r="EC301" s="179"/>
      <c r="ED301" s="179"/>
      <c r="EE301" s="179"/>
      <c r="EF301" s="179"/>
      <c r="EG301" s="179"/>
      <c r="EH301" s="179"/>
      <c r="EI301" s="179"/>
      <c r="EJ301" s="179"/>
      <c r="EK301" s="179"/>
      <c r="EL301" s="179"/>
      <c r="EM301" s="179"/>
      <c r="EN301" s="179"/>
      <c r="EO301" s="179"/>
      <c r="EP301" s="179"/>
      <c r="EQ301" s="179"/>
      <c r="ER301" s="179"/>
      <c r="ES301" s="179"/>
      <c r="ET301" s="179"/>
      <c r="EU301" s="179"/>
      <c r="EV301" s="179"/>
      <c r="EW301" s="179"/>
      <c r="EX301" s="179"/>
      <c r="EY301" s="179"/>
      <c r="EZ301" s="179"/>
      <c r="FA301" s="179"/>
      <c r="FB301" s="179"/>
      <c r="FC301" s="179"/>
      <c r="FD301" s="179"/>
      <c r="FE301" s="179"/>
      <c r="FF301" s="179"/>
      <c r="FG301" s="179"/>
      <c r="FH301" s="179"/>
      <c r="FI301" s="179"/>
      <c r="FJ301" s="179"/>
      <c r="FK301" s="179"/>
      <c r="FL301" s="179"/>
      <c r="FM301" s="179"/>
      <c r="FN301" s="179"/>
      <c r="FO301" s="179"/>
      <c r="FP301" s="179"/>
      <c r="FQ301" s="179"/>
      <c r="FR301" s="179"/>
      <c r="FS301" s="179"/>
      <c r="FT301" s="179"/>
      <c r="FU301" s="179"/>
      <c r="FV301" s="179"/>
      <c r="FW301" s="179"/>
      <c r="FX301" s="179"/>
      <c r="FY301" s="179"/>
      <c r="FZ301" s="179"/>
      <c r="GA301" s="179"/>
      <c r="GB301" s="179"/>
      <c r="GC301" s="179"/>
      <c r="GD301" s="179"/>
      <c r="GE301" s="179"/>
      <c r="GF301" s="179"/>
      <c r="GG301" s="179"/>
      <c r="GH301" s="179"/>
      <c r="GI301" s="179"/>
      <c r="GJ301" s="179"/>
      <c r="GK301" s="179"/>
      <c r="GL301" s="179"/>
      <c r="GM301" s="179"/>
      <c r="GN301" s="179"/>
      <c r="GO301" s="179"/>
      <c r="GP301" s="179"/>
      <c r="GQ301" s="179"/>
      <c r="GR301" s="179"/>
      <c r="GS301" s="179"/>
      <c r="GT301" s="179"/>
      <c r="GU301" s="179"/>
      <c r="GV301" s="179"/>
      <c r="GW301" s="179"/>
      <c r="GX301" s="179"/>
      <c r="GY301" s="179"/>
      <c r="GZ301" s="179"/>
      <c r="HA301" s="179"/>
      <c r="HB301" s="179"/>
      <c r="HC301" s="179"/>
      <c r="HD301" s="179"/>
      <c r="HE301" s="179"/>
      <c r="HF301" s="179"/>
      <c r="HG301" s="179"/>
      <c r="HH301" s="179"/>
      <c r="HI301" s="179"/>
      <c r="HJ301" s="179"/>
      <c r="HK301" s="179"/>
      <c r="HL301" s="179"/>
      <c r="HM301" s="179"/>
      <c r="HN301" s="179"/>
      <c r="HO301" s="179"/>
      <c r="HP301" s="179"/>
      <c r="HQ301" s="179"/>
      <c r="HR301" s="179"/>
      <c r="HS301" s="179"/>
      <c r="HT301" s="179"/>
      <c r="HU301" s="179"/>
      <c r="HV301" s="179"/>
      <c r="HW301" s="179"/>
      <c r="HX301" s="179"/>
      <c r="HY301" s="179"/>
      <c r="HZ301" s="179"/>
      <c r="IA301" s="179"/>
      <c r="IB301" s="179"/>
      <c r="IC301" s="179"/>
      <c r="ID301" s="179"/>
      <c r="IE301" s="179"/>
      <c r="IF301" s="179"/>
      <c r="IG301" s="179"/>
      <c r="IH301" s="179"/>
      <c r="II301" s="179"/>
      <c r="IJ301" s="179"/>
      <c r="IK301" s="179"/>
      <c r="IL301" s="179"/>
      <c r="IM301" s="179"/>
      <c r="IN301" s="179"/>
      <c r="IO301" s="179"/>
      <c r="IP301" s="179"/>
      <c r="IQ301" s="179"/>
      <c r="IR301" s="179"/>
    </row>
    <row r="302" spans="1:252">
      <c r="A302" s="325" t="s">
        <v>603</v>
      </c>
      <c r="B302" s="194">
        <f>B301*130*1.302*1.5</f>
        <v>159823.755</v>
      </c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79"/>
      <c r="AT302" s="179"/>
      <c r="AU302" s="179"/>
      <c r="AV302" s="179"/>
      <c r="AW302" s="179"/>
      <c r="AX302" s="179"/>
      <c r="AY302" s="179"/>
      <c r="AZ302" s="179"/>
      <c r="BA302" s="179"/>
      <c r="BB302" s="179"/>
      <c r="BC302" s="179"/>
      <c r="BD302" s="179"/>
      <c r="BE302" s="179"/>
      <c r="BF302" s="179"/>
      <c r="BG302" s="179"/>
      <c r="BH302" s="179"/>
      <c r="BI302" s="179"/>
      <c r="BJ302" s="179"/>
      <c r="BK302" s="179"/>
      <c r="BL302" s="179"/>
      <c r="BM302" s="179"/>
      <c r="BN302" s="179"/>
      <c r="BO302" s="179"/>
      <c r="BP302" s="179"/>
      <c r="BQ302" s="179"/>
      <c r="BR302" s="179"/>
      <c r="BS302" s="179"/>
      <c r="BT302" s="179"/>
      <c r="BU302" s="179"/>
      <c r="BV302" s="179"/>
      <c r="BW302" s="179"/>
      <c r="BX302" s="179"/>
      <c r="BY302" s="179"/>
      <c r="BZ302" s="179"/>
      <c r="CA302" s="179"/>
      <c r="CB302" s="179"/>
      <c r="CC302" s="179"/>
      <c r="CD302" s="179"/>
      <c r="CE302" s="179"/>
      <c r="CF302" s="179"/>
      <c r="CG302" s="179"/>
      <c r="CH302" s="179"/>
      <c r="CI302" s="179"/>
      <c r="CJ302" s="179"/>
      <c r="CK302" s="179"/>
      <c r="CL302" s="179"/>
      <c r="CM302" s="179"/>
      <c r="CN302" s="179"/>
      <c r="CO302" s="179"/>
      <c r="CP302" s="179"/>
      <c r="CQ302" s="179"/>
      <c r="CR302" s="179"/>
      <c r="CS302" s="179"/>
      <c r="CT302" s="179"/>
      <c r="CU302" s="179"/>
      <c r="CV302" s="179"/>
      <c r="CW302" s="179"/>
      <c r="CX302" s="179"/>
      <c r="CY302" s="179"/>
      <c r="CZ302" s="179"/>
      <c r="DA302" s="179"/>
      <c r="DB302" s="179"/>
      <c r="DC302" s="179"/>
      <c r="DD302" s="179"/>
      <c r="DE302" s="179"/>
      <c r="DF302" s="179"/>
      <c r="DG302" s="179"/>
      <c r="DH302" s="179"/>
      <c r="DI302" s="179"/>
      <c r="DJ302" s="179"/>
      <c r="DK302" s="179"/>
      <c r="DL302" s="179"/>
      <c r="DM302" s="179"/>
      <c r="DN302" s="179"/>
      <c r="DO302" s="179"/>
      <c r="DP302" s="179"/>
      <c r="DQ302" s="179"/>
      <c r="DR302" s="179"/>
      <c r="DS302" s="179"/>
      <c r="DT302" s="179"/>
      <c r="DU302" s="179"/>
      <c r="DV302" s="179"/>
      <c r="DW302" s="179"/>
      <c r="DX302" s="179"/>
      <c r="DY302" s="179"/>
      <c r="DZ302" s="179"/>
      <c r="EA302" s="179"/>
      <c r="EB302" s="179"/>
      <c r="EC302" s="179"/>
      <c r="ED302" s="179"/>
      <c r="EE302" s="179"/>
      <c r="EF302" s="179"/>
      <c r="EG302" s="179"/>
      <c r="EH302" s="179"/>
      <c r="EI302" s="179"/>
      <c r="EJ302" s="179"/>
      <c r="EK302" s="179"/>
      <c r="EL302" s="179"/>
      <c r="EM302" s="179"/>
      <c r="EN302" s="179"/>
      <c r="EO302" s="179"/>
      <c r="EP302" s="179"/>
      <c r="EQ302" s="179"/>
      <c r="ER302" s="179"/>
      <c r="ES302" s="179"/>
      <c r="ET302" s="179"/>
      <c r="EU302" s="179"/>
      <c r="EV302" s="179"/>
      <c r="EW302" s="179"/>
      <c r="EX302" s="179"/>
      <c r="EY302" s="179"/>
      <c r="EZ302" s="179"/>
      <c r="FA302" s="179"/>
      <c r="FB302" s="179"/>
      <c r="FC302" s="179"/>
      <c r="FD302" s="179"/>
      <c r="FE302" s="179"/>
      <c r="FF302" s="179"/>
      <c r="FG302" s="179"/>
      <c r="FH302" s="179"/>
      <c r="FI302" s="179"/>
      <c r="FJ302" s="179"/>
      <c r="FK302" s="179"/>
      <c r="FL302" s="179"/>
      <c r="FM302" s="179"/>
      <c r="FN302" s="179"/>
      <c r="FO302" s="179"/>
      <c r="FP302" s="179"/>
      <c r="FQ302" s="179"/>
      <c r="FR302" s="179"/>
      <c r="FS302" s="179"/>
      <c r="FT302" s="179"/>
      <c r="FU302" s="179"/>
      <c r="FV302" s="179"/>
      <c r="FW302" s="179"/>
      <c r="FX302" s="179"/>
      <c r="FY302" s="179"/>
      <c r="FZ302" s="179"/>
      <c r="GA302" s="179"/>
      <c r="GB302" s="179"/>
      <c r="GC302" s="179"/>
      <c r="GD302" s="179"/>
      <c r="GE302" s="179"/>
      <c r="GF302" s="179"/>
      <c r="GG302" s="179"/>
      <c r="GH302" s="179"/>
      <c r="GI302" s="179"/>
      <c r="GJ302" s="179"/>
      <c r="GK302" s="179"/>
      <c r="GL302" s="179"/>
      <c r="GM302" s="179"/>
      <c r="GN302" s="179"/>
      <c r="GO302" s="179"/>
      <c r="GP302" s="179"/>
      <c r="GQ302" s="179"/>
      <c r="GR302" s="179"/>
      <c r="GS302" s="179"/>
      <c r="GT302" s="179"/>
      <c r="GU302" s="179"/>
      <c r="GV302" s="179"/>
      <c r="GW302" s="179"/>
      <c r="GX302" s="179"/>
      <c r="GY302" s="179"/>
      <c r="GZ302" s="179"/>
      <c r="HA302" s="179"/>
      <c r="HB302" s="179"/>
      <c r="HC302" s="179"/>
      <c r="HD302" s="179"/>
      <c r="HE302" s="179"/>
      <c r="HF302" s="179"/>
      <c r="HG302" s="179"/>
      <c r="HH302" s="179"/>
      <c r="HI302" s="179"/>
      <c r="HJ302" s="179"/>
      <c r="HK302" s="179"/>
      <c r="HL302" s="179"/>
      <c r="HM302" s="179"/>
      <c r="HN302" s="179"/>
      <c r="HO302" s="179"/>
      <c r="HP302" s="179"/>
      <c r="HQ302" s="179"/>
      <c r="HR302" s="179"/>
      <c r="HS302" s="179"/>
      <c r="HT302" s="179"/>
      <c r="HU302" s="179"/>
      <c r="HV302" s="179"/>
      <c r="HW302" s="179"/>
      <c r="HX302" s="179"/>
      <c r="HY302" s="179"/>
      <c r="HZ302" s="179"/>
      <c r="IA302" s="179"/>
      <c r="IB302" s="179"/>
      <c r="IC302" s="179"/>
      <c r="ID302" s="179"/>
      <c r="IE302" s="179"/>
      <c r="IF302" s="179"/>
      <c r="IG302" s="179"/>
      <c r="IH302" s="179"/>
      <c r="II302" s="179"/>
      <c r="IJ302" s="179"/>
      <c r="IK302" s="179"/>
      <c r="IL302" s="179"/>
      <c r="IM302" s="179"/>
      <c r="IN302" s="179"/>
      <c r="IO302" s="179"/>
      <c r="IP302" s="179"/>
      <c r="IQ302" s="179"/>
      <c r="IR302" s="179"/>
    </row>
    <row r="303" spans="1:252">
      <c r="A303" s="325" t="s">
        <v>1603</v>
      </c>
      <c r="B303" s="194">
        <f>(45039.73+5900.4)</f>
        <v>50940.130000000005</v>
      </c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  <c r="AA303" s="179"/>
      <c r="AB303" s="179"/>
      <c r="AC303" s="179"/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79"/>
      <c r="BL303" s="179"/>
      <c r="BM303" s="179"/>
      <c r="BN303" s="179"/>
      <c r="BO303" s="179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179"/>
      <c r="BZ303" s="179"/>
      <c r="CA303" s="179"/>
      <c r="CB303" s="179"/>
      <c r="CC303" s="179"/>
      <c r="CD303" s="179"/>
      <c r="CE303" s="179"/>
      <c r="CF303" s="179"/>
      <c r="CG303" s="179"/>
      <c r="CH303" s="179"/>
      <c r="CI303" s="179"/>
      <c r="CJ303" s="179"/>
      <c r="CK303" s="179"/>
      <c r="CL303" s="179"/>
      <c r="CM303" s="179"/>
      <c r="CN303" s="179"/>
      <c r="CO303" s="179"/>
      <c r="CP303" s="179"/>
      <c r="CQ303" s="179"/>
      <c r="CR303" s="179"/>
      <c r="CS303" s="179"/>
      <c r="CT303" s="179"/>
      <c r="CU303" s="179"/>
      <c r="CV303" s="179"/>
      <c r="CW303" s="179"/>
      <c r="CX303" s="179"/>
      <c r="CY303" s="179"/>
      <c r="CZ303" s="179"/>
      <c r="DA303" s="179"/>
      <c r="DB303" s="179"/>
      <c r="DC303" s="179"/>
      <c r="DD303" s="179"/>
      <c r="DE303" s="179"/>
      <c r="DF303" s="179"/>
      <c r="DG303" s="179"/>
      <c r="DH303" s="179"/>
      <c r="DI303" s="179"/>
      <c r="DJ303" s="179"/>
      <c r="DK303" s="179"/>
      <c r="DL303" s="179"/>
      <c r="DM303" s="179"/>
      <c r="DN303" s="179"/>
      <c r="DO303" s="179"/>
      <c r="DP303" s="179"/>
      <c r="DQ303" s="179"/>
      <c r="DR303" s="179"/>
      <c r="DS303" s="179"/>
      <c r="DT303" s="179"/>
      <c r="DU303" s="179"/>
      <c r="DV303" s="179"/>
      <c r="DW303" s="179"/>
      <c r="DX303" s="179"/>
      <c r="DY303" s="179"/>
      <c r="DZ303" s="179"/>
      <c r="EA303" s="179"/>
      <c r="EB303" s="179"/>
      <c r="EC303" s="179"/>
      <c r="ED303" s="179"/>
      <c r="EE303" s="179"/>
      <c r="EF303" s="179"/>
      <c r="EG303" s="179"/>
      <c r="EH303" s="179"/>
      <c r="EI303" s="179"/>
      <c r="EJ303" s="179"/>
      <c r="EK303" s="179"/>
      <c r="EL303" s="179"/>
      <c r="EM303" s="179"/>
      <c r="EN303" s="179"/>
      <c r="EO303" s="179"/>
      <c r="EP303" s="179"/>
      <c r="EQ303" s="179"/>
      <c r="ER303" s="179"/>
      <c r="ES303" s="179"/>
      <c r="ET303" s="179"/>
      <c r="EU303" s="179"/>
      <c r="EV303" s="179"/>
      <c r="EW303" s="179"/>
      <c r="EX303" s="179"/>
      <c r="EY303" s="179"/>
      <c r="EZ303" s="179"/>
      <c r="FA303" s="179"/>
      <c r="FB303" s="179"/>
      <c r="FC303" s="179"/>
      <c r="FD303" s="179"/>
      <c r="FE303" s="179"/>
      <c r="FF303" s="179"/>
      <c r="FG303" s="179"/>
      <c r="FH303" s="179"/>
      <c r="FI303" s="179"/>
      <c r="FJ303" s="179"/>
      <c r="FK303" s="179"/>
      <c r="FL303" s="179"/>
      <c r="FM303" s="179"/>
      <c r="FN303" s="179"/>
      <c r="FO303" s="179"/>
      <c r="FP303" s="179"/>
      <c r="FQ303" s="179"/>
      <c r="FR303" s="179"/>
      <c r="FS303" s="179"/>
      <c r="FT303" s="179"/>
      <c r="FU303" s="179"/>
      <c r="FV303" s="179"/>
      <c r="FW303" s="179"/>
      <c r="FX303" s="179"/>
      <c r="FY303" s="179"/>
      <c r="FZ303" s="179"/>
      <c r="GA303" s="179"/>
      <c r="GB303" s="179"/>
      <c r="GC303" s="179"/>
      <c r="GD303" s="179"/>
      <c r="GE303" s="179"/>
      <c r="GF303" s="179"/>
      <c r="GG303" s="179"/>
      <c r="GH303" s="179"/>
      <c r="GI303" s="179"/>
      <c r="GJ303" s="179"/>
      <c r="GK303" s="179"/>
      <c r="GL303" s="179"/>
      <c r="GM303" s="179"/>
      <c r="GN303" s="179"/>
      <c r="GO303" s="179"/>
      <c r="GP303" s="179"/>
      <c r="GQ303" s="179"/>
      <c r="GR303" s="179"/>
      <c r="GS303" s="179"/>
      <c r="GT303" s="179"/>
      <c r="GU303" s="179"/>
      <c r="GV303" s="179"/>
      <c r="GW303" s="179"/>
      <c r="GX303" s="179"/>
      <c r="GY303" s="179"/>
      <c r="GZ303" s="179"/>
      <c r="HA303" s="179"/>
      <c r="HB303" s="179"/>
      <c r="HC303" s="179"/>
      <c r="HD303" s="179"/>
      <c r="HE303" s="179"/>
      <c r="HF303" s="179"/>
      <c r="HG303" s="179"/>
      <c r="HH303" s="179"/>
      <c r="HI303" s="179"/>
      <c r="HJ303" s="179"/>
      <c r="HK303" s="179"/>
      <c r="HL303" s="179"/>
      <c r="HM303" s="179"/>
      <c r="HN303" s="179"/>
      <c r="HO303" s="179"/>
      <c r="HP303" s="179"/>
      <c r="HQ303" s="179"/>
      <c r="HR303" s="179"/>
      <c r="HS303" s="179"/>
      <c r="HT303" s="179"/>
      <c r="HU303" s="179"/>
      <c r="HV303" s="179"/>
      <c r="HW303" s="179"/>
      <c r="HX303" s="179"/>
      <c r="HY303" s="179"/>
      <c r="HZ303" s="179"/>
      <c r="IA303" s="179"/>
      <c r="IB303" s="179"/>
      <c r="IC303" s="179"/>
      <c r="ID303" s="179"/>
      <c r="IE303" s="179"/>
      <c r="IF303" s="179"/>
      <c r="IG303" s="179"/>
      <c r="IH303" s="179"/>
      <c r="II303" s="179"/>
      <c r="IJ303" s="179"/>
      <c r="IK303" s="179"/>
      <c r="IL303" s="179"/>
      <c r="IM303" s="179"/>
      <c r="IN303" s="179"/>
      <c r="IO303" s="179"/>
      <c r="IP303" s="179"/>
      <c r="IQ303" s="179"/>
      <c r="IR303" s="179"/>
    </row>
    <row r="304" spans="1:252">
      <c r="A304" s="325" t="s">
        <v>724</v>
      </c>
      <c r="B304" s="194">
        <f>31951.7*1.5</f>
        <v>47927.55</v>
      </c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  <c r="AA304" s="179"/>
      <c r="AB304" s="179"/>
      <c r="AC304" s="179"/>
      <c r="AD304" s="179"/>
      <c r="AE304" s="179"/>
      <c r="AF304" s="179"/>
      <c r="AG304" s="179"/>
      <c r="AH304" s="179"/>
      <c r="AI304" s="179"/>
      <c r="AJ304" s="179"/>
      <c r="AK304" s="179"/>
      <c r="AL304" s="179"/>
      <c r="AM304" s="179"/>
      <c r="AN304" s="179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79"/>
      <c r="BC304" s="179"/>
      <c r="BD304" s="179"/>
      <c r="BE304" s="179"/>
      <c r="BF304" s="179"/>
      <c r="BG304" s="179"/>
      <c r="BH304" s="179"/>
      <c r="BI304" s="179"/>
      <c r="BJ304" s="179"/>
      <c r="BK304" s="179"/>
      <c r="BL304" s="179"/>
      <c r="BM304" s="179"/>
      <c r="BN304" s="179"/>
      <c r="BO304" s="179"/>
      <c r="BP304" s="179"/>
      <c r="BQ304" s="179"/>
      <c r="BR304" s="179"/>
      <c r="BS304" s="179"/>
      <c r="BT304" s="179"/>
      <c r="BU304" s="179"/>
      <c r="BV304" s="179"/>
      <c r="BW304" s="179"/>
      <c r="BX304" s="179"/>
      <c r="BY304" s="179"/>
      <c r="BZ304" s="179"/>
      <c r="CA304" s="179"/>
      <c r="CB304" s="179"/>
      <c r="CC304" s="179"/>
      <c r="CD304" s="179"/>
      <c r="CE304" s="179"/>
      <c r="CF304" s="179"/>
      <c r="CG304" s="179"/>
      <c r="CH304" s="179"/>
      <c r="CI304" s="179"/>
      <c r="CJ304" s="179"/>
      <c r="CK304" s="179"/>
      <c r="CL304" s="179"/>
      <c r="CM304" s="179"/>
      <c r="CN304" s="179"/>
      <c r="CO304" s="179"/>
      <c r="CP304" s="179"/>
      <c r="CQ304" s="179"/>
      <c r="CR304" s="179"/>
      <c r="CS304" s="179"/>
      <c r="CT304" s="179"/>
      <c r="CU304" s="179"/>
      <c r="CV304" s="179"/>
      <c r="CW304" s="179"/>
      <c r="CX304" s="179"/>
      <c r="CY304" s="179"/>
      <c r="CZ304" s="179"/>
      <c r="DA304" s="179"/>
      <c r="DB304" s="179"/>
      <c r="DC304" s="179"/>
      <c r="DD304" s="179"/>
      <c r="DE304" s="179"/>
      <c r="DF304" s="179"/>
      <c r="DG304" s="179"/>
      <c r="DH304" s="179"/>
      <c r="DI304" s="179"/>
      <c r="DJ304" s="179"/>
      <c r="DK304" s="179"/>
      <c r="DL304" s="179"/>
      <c r="DM304" s="179"/>
      <c r="DN304" s="179"/>
      <c r="DO304" s="179"/>
      <c r="DP304" s="179"/>
      <c r="DQ304" s="179"/>
      <c r="DR304" s="179"/>
      <c r="DS304" s="179"/>
      <c r="DT304" s="179"/>
      <c r="DU304" s="179"/>
      <c r="DV304" s="179"/>
      <c r="DW304" s="179"/>
      <c r="DX304" s="179"/>
      <c r="DY304" s="179"/>
      <c r="DZ304" s="179"/>
      <c r="EA304" s="179"/>
      <c r="EB304" s="179"/>
      <c r="EC304" s="179"/>
      <c r="ED304" s="179"/>
      <c r="EE304" s="179"/>
      <c r="EF304" s="179"/>
      <c r="EG304" s="179"/>
      <c r="EH304" s="179"/>
      <c r="EI304" s="179"/>
      <c r="EJ304" s="179"/>
      <c r="EK304" s="179"/>
      <c r="EL304" s="179"/>
      <c r="EM304" s="179"/>
      <c r="EN304" s="179"/>
      <c r="EO304" s="179"/>
      <c r="EP304" s="179"/>
      <c r="EQ304" s="179"/>
      <c r="ER304" s="179"/>
      <c r="ES304" s="179"/>
      <c r="ET304" s="179"/>
      <c r="EU304" s="179"/>
      <c r="EV304" s="179"/>
      <c r="EW304" s="179"/>
      <c r="EX304" s="179"/>
      <c r="EY304" s="179"/>
      <c r="EZ304" s="179"/>
      <c r="FA304" s="179"/>
      <c r="FB304" s="179"/>
      <c r="FC304" s="179"/>
      <c r="FD304" s="179"/>
      <c r="FE304" s="179"/>
      <c r="FF304" s="179"/>
      <c r="FG304" s="179"/>
      <c r="FH304" s="179"/>
      <c r="FI304" s="179"/>
      <c r="FJ304" s="179"/>
      <c r="FK304" s="179"/>
      <c r="FL304" s="179"/>
      <c r="FM304" s="179"/>
      <c r="FN304" s="179"/>
      <c r="FO304" s="179"/>
      <c r="FP304" s="179"/>
      <c r="FQ304" s="179"/>
      <c r="FR304" s="179"/>
      <c r="FS304" s="179"/>
      <c r="FT304" s="179"/>
      <c r="FU304" s="179"/>
      <c r="FV304" s="179"/>
      <c r="FW304" s="179"/>
      <c r="FX304" s="179"/>
      <c r="FY304" s="179"/>
      <c r="FZ304" s="179"/>
      <c r="GA304" s="179"/>
      <c r="GB304" s="179"/>
      <c r="GC304" s="179"/>
      <c r="GD304" s="179"/>
      <c r="GE304" s="179"/>
      <c r="GF304" s="179"/>
      <c r="GG304" s="179"/>
      <c r="GH304" s="179"/>
      <c r="GI304" s="179"/>
      <c r="GJ304" s="179"/>
      <c r="GK304" s="179"/>
      <c r="GL304" s="179"/>
      <c r="GM304" s="179"/>
      <c r="GN304" s="179"/>
      <c r="GO304" s="179"/>
      <c r="GP304" s="179"/>
      <c r="GQ304" s="179"/>
      <c r="GR304" s="179"/>
      <c r="GS304" s="179"/>
      <c r="GT304" s="179"/>
      <c r="GU304" s="179"/>
      <c r="GV304" s="179"/>
      <c r="GW304" s="179"/>
      <c r="GX304" s="179"/>
      <c r="GY304" s="179"/>
      <c r="GZ304" s="179"/>
      <c r="HA304" s="179"/>
      <c r="HB304" s="179"/>
      <c r="HC304" s="179"/>
      <c r="HD304" s="179"/>
      <c r="HE304" s="179"/>
      <c r="HF304" s="179"/>
      <c r="HG304" s="179"/>
      <c r="HH304" s="179"/>
      <c r="HI304" s="179"/>
      <c r="HJ304" s="179"/>
      <c r="HK304" s="179"/>
      <c r="HL304" s="179"/>
      <c r="HM304" s="179"/>
      <c r="HN304" s="179"/>
      <c r="HO304" s="179"/>
      <c r="HP304" s="179"/>
      <c r="HQ304" s="179"/>
      <c r="HR304" s="179"/>
      <c r="HS304" s="179"/>
      <c r="HT304" s="179"/>
      <c r="HU304" s="179"/>
      <c r="HV304" s="179"/>
      <c r="HW304" s="179"/>
      <c r="HX304" s="179"/>
      <c r="HY304" s="179"/>
      <c r="HZ304" s="179"/>
      <c r="IA304" s="179"/>
      <c r="IB304" s="179"/>
      <c r="IC304" s="179"/>
      <c r="ID304" s="179"/>
      <c r="IE304" s="179"/>
      <c r="IF304" s="179"/>
      <c r="IG304" s="179"/>
      <c r="IH304" s="179"/>
      <c r="II304" s="179"/>
      <c r="IJ304" s="179"/>
      <c r="IK304" s="179"/>
      <c r="IL304" s="179"/>
      <c r="IM304" s="179"/>
      <c r="IN304" s="179"/>
      <c r="IO304" s="179"/>
      <c r="IP304" s="179"/>
      <c r="IQ304" s="179"/>
      <c r="IR304" s="179"/>
    </row>
    <row r="305" spans="1:252">
      <c r="A305" s="325" t="s">
        <v>1599</v>
      </c>
      <c r="B305" s="194">
        <v>52860.69</v>
      </c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9"/>
      <c r="AL305" s="179"/>
      <c r="AM305" s="179"/>
      <c r="AN305" s="179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79"/>
      <c r="BC305" s="179"/>
      <c r="BD305" s="179"/>
      <c r="BE305" s="179"/>
      <c r="BF305" s="179"/>
      <c r="BG305" s="179"/>
      <c r="BH305" s="179"/>
      <c r="BI305" s="179"/>
      <c r="BJ305" s="179"/>
      <c r="BK305" s="179"/>
      <c r="BL305" s="179"/>
      <c r="BM305" s="179"/>
      <c r="BN305" s="179"/>
      <c r="BO305" s="179"/>
      <c r="BP305" s="179"/>
      <c r="BQ305" s="179"/>
      <c r="BR305" s="179"/>
      <c r="BS305" s="179"/>
      <c r="BT305" s="179"/>
      <c r="BU305" s="179"/>
      <c r="BV305" s="179"/>
      <c r="BW305" s="179"/>
      <c r="BX305" s="179"/>
      <c r="BY305" s="179"/>
      <c r="BZ305" s="179"/>
      <c r="CA305" s="179"/>
      <c r="CB305" s="179"/>
      <c r="CC305" s="179"/>
      <c r="CD305" s="179"/>
      <c r="CE305" s="179"/>
      <c r="CF305" s="179"/>
      <c r="CG305" s="179"/>
      <c r="CH305" s="179"/>
      <c r="CI305" s="179"/>
      <c r="CJ305" s="179"/>
      <c r="CK305" s="179"/>
      <c r="CL305" s="179"/>
      <c r="CM305" s="179"/>
      <c r="CN305" s="179"/>
      <c r="CO305" s="179"/>
      <c r="CP305" s="179"/>
      <c r="CQ305" s="179"/>
      <c r="CR305" s="179"/>
      <c r="CS305" s="179"/>
      <c r="CT305" s="179"/>
      <c r="CU305" s="179"/>
      <c r="CV305" s="179"/>
      <c r="CW305" s="179"/>
      <c r="CX305" s="179"/>
      <c r="CY305" s="179"/>
      <c r="CZ305" s="179"/>
      <c r="DA305" s="179"/>
      <c r="DB305" s="179"/>
      <c r="DC305" s="179"/>
      <c r="DD305" s="179"/>
      <c r="DE305" s="179"/>
      <c r="DF305" s="179"/>
      <c r="DG305" s="179"/>
      <c r="DH305" s="179"/>
      <c r="DI305" s="179"/>
      <c r="DJ305" s="179"/>
      <c r="DK305" s="179"/>
      <c r="DL305" s="179"/>
      <c r="DM305" s="179"/>
      <c r="DN305" s="179"/>
      <c r="DO305" s="179"/>
      <c r="DP305" s="179"/>
      <c r="DQ305" s="179"/>
      <c r="DR305" s="179"/>
      <c r="DS305" s="179"/>
      <c r="DT305" s="179"/>
      <c r="DU305" s="179"/>
      <c r="DV305" s="179"/>
      <c r="DW305" s="179"/>
      <c r="DX305" s="179"/>
      <c r="DY305" s="179"/>
      <c r="DZ305" s="179"/>
      <c r="EA305" s="179"/>
      <c r="EB305" s="179"/>
      <c r="EC305" s="179"/>
      <c r="ED305" s="179"/>
      <c r="EE305" s="179"/>
      <c r="EF305" s="179"/>
      <c r="EG305" s="179"/>
      <c r="EH305" s="179"/>
      <c r="EI305" s="179"/>
      <c r="EJ305" s="179"/>
      <c r="EK305" s="179"/>
      <c r="EL305" s="179"/>
      <c r="EM305" s="179"/>
      <c r="EN305" s="179"/>
      <c r="EO305" s="179"/>
      <c r="EP305" s="179"/>
      <c r="EQ305" s="179"/>
      <c r="ER305" s="179"/>
      <c r="ES305" s="179"/>
      <c r="ET305" s="179"/>
      <c r="EU305" s="179"/>
      <c r="EV305" s="179"/>
      <c r="EW305" s="179"/>
      <c r="EX305" s="179"/>
      <c r="EY305" s="179"/>
      <c r="EZ305" s="179"/>
      <c r="FA305" s="179"/>
      <c r="FB305" s="179"/>
      <c r="FC305" s="179"/>
      <c r="FD305" s="179"/>
      <c r="FE305" s="179"/>
      <c r="FF305" s="179"/>
      <c r="FG305" s="179"/>
      <c r="FH305" s="179"/>
      <c r="FI305" s="179"/>
      <c r="FJ305" s="179"/>
      <c r="FK305" s="179"/>
      <c r="FL305" s="179"/>
      <c r="FM305" s="179"/>
      <c r="FN305" s="179"/>
      <c r="FO305" s="179"/>
      <c r="FP305" s="179"/>
      <c r="FQ305" s="179"/>
      <c r="FR305" s="179"/>
      <c r="FS305" s="179"/>
      <c r="FT305" s="179"/>
      <c r="FU305" s="179"/>
      <c r="FV305" s="179"/>
      <c r="FW305" s="179"/>
      <c r="FX305" s="179"/>
      <c r="FY305" s="179"/>
      <c r="FZ305" s="179"/>
      <c r="GA305" s="179"/>
      <c r="GB305" s="179"/>
      <c r="GC305" s="179"/>
      <c r="GD305" s="179"/>
      <c r="GE305" s="179"/>
      <c r="GF305" s="179"/>
      <c r="GG305" s="179"/>
      <c r="GH305" s="179"/>
      <c r="GI305" s="179"/>
      <c r="GJ305" s="179"/>
      <c r="GK305" s="179"/>
      <c r="GL305" s="179"/>
      <c r="GM305" s="179"/>
      <c r="GN305" s="179"/>
      <c r="GO305" s="179"/>
      <c r="GP305" s="179"/>
      <c r="GQ305" s="179"/>
      <c r="GR305" s="179"/>
      <c r="GS305" s="179"/>
      <c r="GT305" s="179"/>
      <c r="GU305" s="179"/>
      <c r="GV305" s="179"/>
      <c r="GW305" s="179"/>
      <c r="GX305" s="179"/>
      <c r="GY305" s="179"/>
      <c r="GZ305" s="179"/>
      <c r="HA305" s="179"/>
      <c r="HB305" s="179"/>
      <c r="HC305" s="179"/>
      <c r="HD305" s="179"/>
      <c r="HE305" s="179"/>
      <c r="HF305" s="179"/>
      <c r="HG305" s="179"/>
      <c r="HH305" s="179"/>
      <c r="HI305" s="179"/>
      <c r="HJ305" s="179"/>
      <c r="HK305" s="179"/>
      <c r="HL305" s="179"/>
      <c r="HM305" s="179"/>
      <c r="HN305" s="179"/>
      <c r="HO305" s="179"/>
      <c r="HP305" s="179"/>
      <c r="HQ305" s="179"/>
      <c r="HR305" s="179"/>
      <c r="HS305" s="179"/>
      <c r="HT305" s="179"/>
      <c r="HU305" s="179"/>
      <c r="HV305" s="179"/>
      <c r="HW305" s="179"/>
      <c r="HX305" s="179"/>
      <c r="HY305" s="179"/>
      <c r="HZ305" s="179"/>
      <c r="IA305" s="179"/>
      <c r="IB305" s="179"/>
      <c r="IC305" s="179"/>
      <c r="ID305" s="179"/>
      <c r="IE305" s="179"/>
      <c r="IF305" s="179"/>
      <c r="IG305" s="179"/>
      <c r="IH305" s="179"/>
      <c r="II305" s="179"/>
      <c r="IJ305" s="179"/>
      <c r="IK305" s="179"/>
      <c r="IL305" s="179"/>
      <c r="IM305" s="179"/>
      <c r="IN305" s="179"/>
      <c r="IO305" s="179"/>
      <c r="IP305" s="179"/>
      <c r="IQ305" s="179"/>
      <c r="IR305" s="179"/>
    </row>
    <row r="306" spans="1:252" s="75" customFormat="1">
      <c r="A306" s="542" t="s">
        <v>1762</v>
      </c>
      <c r="B306" s="194">
        <f>B292-B294-B305</f>
        <v>-1815.8760835744324</v>
      </c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  <c r="AR306" s="197"/>
      <c r="AS306" s="197"/>
      <c r="AT306" s="197"/>
      <c r="AU306" s="197"/>
      <c r="AV306" s="197"/>
      <c r="AW306" s="197"/>
      <c r="AX306" s="197"/>
      <c r="AY306" s="197"/>
      <c r="AZ306" s="197"/>
      <c r="BA306" s="197"/>
      <c r="BB306" s="197"/>
      <c r="BC306" s="197"/>
      <c r="BD306" s="197"/>
      <c r="BE306" s="197"/>
      <c r="BF306" s="197"/>
      <c r="BG306" s="197"/>
      <c r="BH306" s="197"/>
      <c r="BI306" s="197"/>
      <c r="BJ306" s="197"/>
      <c r="BK306" s="197"/>
      <c r="BL306" s="197"/>
      <c r="BM306" s="197"/>
      <c r="BN306" s="197"/>
      <c r="BO306" s="197"/>
      <c r="BP306" s="197"/>
      <c r="BQ306" s="197"/>
      <c r="BR306" s="197"/>
      <c r="BS306" s="197"/>
      <c r="BT306" s="197"/>
      <c r="BU306" s="197"/>
      <c r="BV306" s="197"/>
      <c r="BW306" s="197"/>
      <c r="BX306" s="197"/>
      <c r="BY306" s="197"/>
      <c r="BZ306" s="197"/>
      <c r="CA306" s="197"/>
      <c r="CB306" s="197"/>
      <c r="CC306" s="197"/>
      <c r="CD306" s="197"/>
      <c r="CE306" s="197"/>
      <c r="CF306" s="197"/>
      <c r="CG306" s="197"/>
      <c r="CH306" s="197"/>
      <c r="CI306" s="197"/>
      <c r="CJ306" s="197"/>
      <c r="CK306" s="197"/>
      <c r="CL306" s="197"/>
      <c r="CM306" s="197"/>
      <c r="CN306" s="197"/>
      <c r="CO306" s="197"/>
      <c r="CP306" s="197"/>
      <c r="CQ306" s="197"/>
      <c r="CR306" s="197"/>
      <c r="CS306" s="197"/>
      <c r="CT306" s="197"/>
      <c r="CU306" s="197"/>
      <c r="CV306" s="197"/>
      <c r="CW306" s="197"/>
      <c r="CX306" s="197"/>
      <c r="CY306" s="197"/>
      <c r="CZ306" s="197"/>
      <c r="DA306" s="197"/>
      <c r="DB306" s="197"/>
      <c r="DC306" s="197"/>
      <c r="DD306" s="197"/>
      <c r="DE306" s="197"/>
      <c r="DF306" s="197"/>
      <c r="DG306" s="197"/>
      <c r="DH306" s="197"/>
      <c r="DI306" s="197"/>
      <c r="DJ306" s="197"/>
      <c r="DK306" s="197"/>
      <c r="DL306" s="197"/>
      <c r="DM306" s="197"/>
      <c r="DN306" s="197"/>
      <c r="DO306" s="197"/>
      <c r="DP306" s="197"/>
      <c r="DQ306" s="197"/>
      <c r="DR306" s="197"/>
      <c r="DS306" s="197"/>
      <c r="DT306" s="197"/>
      <c r="DU306" s="197"/>
      <c r="DV306" s="197"/>
      <c r="DW306" s="197"/>
      <c r="DX306" s="197"/>
      <c r="DY306" s="197"/>
      <c r="DZ306" s="197"/>
      <c r="EA306" s="197"/>
      <c r="EB306" s="197"/>
      <c r="EC306" s="197"/>
      <c r="ED306" s="197"/>
      <c r="EE306" s="197"/>
      <c r="EF306" s="197"/>
      <c r="EG306" s="197"/>
      <c r="EH306" s="197"/>
      <c r="EI306" s="197"/>
      <c r="EJ306" s="197"/>
      <c r="EK306" s="197"/>
      <c r="EL306" s="197"/>
      <c r="EM306" s="197"/>
      <c r="EN306" s="197"/>
      <c r="EO306" s="197"/>
      <c r="EP306" s="197"/>
      <c r="EQ306" s="197"/>
      <c r="ER306" s="197"/>
      <c r="ES306" s="197"/>
      <c r="ET306" s="197"/>
      <c r="EU306" s="197"/>
      <c r="EV306" s="197"/>
      <c r="EW306" s="197"/>
      <c r="EX306" s="197"/>
      <c r="EY306" s="197"/>
      <c r="EZ306" s="197"/>
      <c r="FA306" s="197"/>
      <c r="FB306" s="197"/>
      <c r="FC306" s="197"/>
      <c r="FD306" s="197"/>
      <c r="FE306" s="197"/>
      <c r="FF306" s="197"/>
      <c r="FG306" s="197"/>
      <c r="FH306" s="197"/>
      <c r="FI306" s="197"/>
      <c r="FJ306" s="197"/>
      <c r="FK306" s="197"/>
      <c r="FL306" s="197"/>
      <c r="FM306" s="197"/>
      <c r="FN306" s="197"/>
      <c r="FO306" s="197"/>
      <c r="FP306" s="197"/>
      <c r="FQ306" s="197"/>
      <c r="FR306" s="197"/>
      <c r="FS306" s="197"/>
      <c r="FT306" s="197"/>
      <c r="FU306" s="197"/>
      <c r="FV306" s="197"/>
      <c r="FW306" s="197"/>
      <c r="FX306" s="197"/>
      <c r="FY306" s="197"/>
      <c r="FZ306" s="197"/>
      <c r="GA306" s="197"/>
      <c r="GB306" s="197"/>
      <c r="GC306" s="197"/>
      <c r="GD306" s="197"/>
      <c r="GE306" s="197"/>
      <c r="GF306" s="197"/>
      <c r="GG306" s="197"/>
      <c r="GH306" s="197"/>
      <c r="GI306" s="197"/>
      <c r="GJ306" s="197"/>
      <c r="GK306" s="197"/>
      <c r="GL306" s="197"/>
      <c r="GM306" s="197"/>
      <c r="GN306" s="197"/>
      <c r="GO306" s="197"/>
      <c r="GP306" s="197"/>
      <c r="GQ306" s="197"/>
      <c r="GR306" s="197"/>
      <c r="GS306" s="197"/>
      <c r="GT306" s="197"/>
      <c r="GU306" s="197"/>
      <c r="GV306" s="197"/>
      <c r="GW306" s="197"/>
      <c r="GX306" s="197"/>
      <c r="GY306" s="197"/>
      <c r="GZ306" s="197"/>
      <c r="HA306" s="197"/>
      <c r="HB306" s="197"/>
      <c r="HC306" s="197"/>
      <c r="HD306" s="197"/>
      <c r="HE306" s="197"/>
      <c r="HF306" s="197"/>
      <c r="HG306" s="197"/>
      <c r="HH306" s="197"/>
      <c r="HI306" s="197"/>
      <c r="HJ306" s="197"/>
      <c r="HK306" s="197"/>
      <c r="HL306" s="197"/>
      <c r="HM306" s="197"/>
      <c r="HN306" s="197"/>
      <c r="HO306" s="197"/>
      <c r="HP306" s="197"/>
      <c r="HQ306" s="197"/>
      <c r="HR306" s="197"/>
      <c r="HS306" s="197"/>
      <c r="HT306" s="197"/>
      <c r="HU306" s="197"/>
      <c r="HV306" s="197"/>
      <c r="HW306" s="197"/>
      <c r="HX306" s="197"/>
      <c r="HY306" s="197"/>
      <c r="HZ306" s="197"/>
      <c r="IA306" s="197"/>
      <c r="IB306" s="197"/>
      <c r="IC306" s="197"/>
      <c r="ID306" s="197"/>
      <c r="IE306" s="197"/>
      <c r="IF306" s="197"/>
      <c r="IG306" s="197"/>
      <c r="IH306" s="197"/>
      <c r="II306" s="197"/>
      <c r="IJ306" s="197"/>
      <c r="IK306" s="197"/>
      <c r="IL306" s="197"/>
      <c r="IM306" s="197"/>
      <c r="IN306" s="197"/>
      <c r="IO306" s="197"/>
    </row>
    <row r="307" spans="1:252" s="75" customFormat="1">
      <c r="A307" s="567"/>
      <c r="B307" s="568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  <c r="AR307" s="197"/>
      <c r="AS307" s="197"/>
      <c r="AT307" s="197"/>
      <c r="AU307" s="197"/>
      <c r="AV307" s="197"/>
      <c r="AW307" s="197"/>
      <c r="AX307" s="197"/>
      <c r="AY307" s="197"/>
      <c r="AZ307" s="197"/>
      <c r="BA307" s="197"/>
      <c r="BB307" s="197"/>
      <c r="BC307" s="197"/>
      <c r="BD307" s="197"/>
      <c r="BE307" s="197"/>
      <c r="BF307" s="197"/>
      <c r="BG307" s="197"/>
      <c r="BH307" s="197"/>
      <c r="BI307" s="197"/>
      <c r="BJ307" s="197"/>
      <c r="BK307" s="197"/>
      <c r="BL307" s="197"/>
      <c r="BM307" s="197"/>
      <c r="BN307" s="197"/>
      <c r="BO307" s="197"/>
      <c r="BP307" s="197"/>
      <c r="BQ307" s="197"/>
      <c r="BR307" s="197"/>
      <c r="BS307" s="197"/>
      <c r="BT307" s="197"/>
      <c r="BU307" s="197"/>
      <c r="BV307" s="197"/>
      <c r="BW307" s="197"/>
      <c r="BX307" s="197"/>
      <c r="BY307" s="197"/>
      <c r="BZ307" s="197"/>
      <c r="CA307" s="197"/>
      <c r="CB307" s="197"/>
      <c r="CC307" s="197"/>
      <c r="CD307" s="197"/>
      <c r="CE307" s="197"/>
      <c r="CF307" s="197"/>
      <c r="CG307" s="197"/>
      <c r="CH307" s="197"/>
      <c r="CI307" s="197"/>
      <c r="CJ307" s="197"/>
      <c r="CK307" s="197"/>
      <c r="CL307" s="197"/>
      <c r="CM307" s="197"/>
      <c r="CN307" s="197"/>
      <c r="CO307" s="197"/>
      <c r="CP307" s="197"/>
      <c r="CQ307" s="197"/>
      <c r="CR307" s="197"/>
      <c r="CS307" s="197"/>
      <c r="CT307" s="197"/>
      <c r="CU307" s="197"/>
      <c r="CV307" s="197"/>
      <c r="CW307" s="197"/>
      <c r="CX307" s="197"/>
      <c r="CY307" s="197"/>
      <c r="CZ307" s="197"/>
      <c r="DA307" s="197"/>
      <c r="DB307" s="197"/>
      <c r="DC307" s="197"/>
      <c r="DD307" s="197"/>
      <c r="DE307" s="197"/>
      <c r="DF307" s="197"/>
      <c r="DG307" s="197"/>
      <c r="DH307" s="197"/>
      <c r="DI307" s="197"/>
      <c r="DJ307" s="197"/>
      <c r="DK307" s="197"/>
      <c r="DL307" s="197"/>
      <c r="DM307" s="197"/>
      <c r="DN307" s="197"/>
      <c r="DO307" s="197"/>
      <c r="DP307" s="197"/>
      <c r="DQ307" s="197"/>
      <c r="DR307" s="197"/>
      <c r="DS307" s="197"/>
      <c r="DT307" s="197"/>
      <c r="DU307" s="197"/>
      <c r="DV307" s="197"/>
      <c r="DW307" s="197"/>
      <c r="DX307" s="197"/>
      <c r="DY307" s="197"/>
      <c r="DZ307" s="197"/>
      <c r="EA307" s="197"/>
      <c r="EB307" s="197"/>
      <c r="EC307" s="197"/>
      <c r="ED307" s="197"/>
      <c r="EE307" s="197"/>
      <c r="EF307" s="197"/>
      <c r="EG307" s="197"/>
      <c r="EH307" s="197"/>
      <c r="EI307" s="197"/>
      <c r="EJ307" s="197"/>
      <c r="EK307" s="197"/>
      <c r="EL307" s="197"/>
      <c r="EM307" s="197"/>
      <c r="EN307" s="197"/>
      <c r="EO307" s="197"/>
      <c r="EP307" s="197"/>
      <c r="EQ307" s="197"/>
      <c r="ER307" s="197"/>
      <c r="ES307" s="197"/>
      <c r="ET307" s="197"/>
      <c r="EU307" s="197"/>
      <c r="EV307" s="197"/>
      <c r="EW307" s="197"/>
      <c r="EX307" s="197"/>
      <c r="EY307" s="197"/>
      <c r="EZ307" s="197"/>
      <c r="FA307" s="197"/>
      <c r="FB307" s="197"/>
      <c r="FC307" s="197"/>
      <c r="FD307" s="197"/>
      <c r="FE307" s="197"/>
      <c r="FF307" s="197"/>
      <c r="FG307" s="197"/>
      <c r="FH307" s="197"/>
      <c r="FI307" s="197"/>
      <c r="FJ307" s="197"/>
      <c r="FK307" s="197"/>
      <c r="FL307" s="197"/>
      <c r="FM307" s="197"/>
      <c r="FN307" s="197"/>
      <c r="FO307" s="197"/>
      <c r="FP307" s="197"/>
      <c r="FQ307" s="197"/>
      <c r="FR307" s="197"/>
      <c r="FS307" s="197"/>
      <c r="FT307" s="197"/>
      <c r="FU307" s="197"/>
      <c r="FV307" s="197"/>
      <c r="FW307" s="197"/>
      <c r="FX307" s="197"/>
      <c r="FY307" s="197"/>
      <c r="FZ307" s="197"/>
      <c r="GA307" s="197"/>
      <c r="GB307" s="197"/>
      <c r="GC307" s="197"/>
      <c r="GD307" s="197"/>
      <c r="GE307" s="197"/>
      <c r="GF307" s="197"/>
      <c r="GG307" s="197"/>
      <c r="GH307" s="197"/>
      <c r="GI307" s="197"/>
      <c r="GJ307" s="197"/>
      <c r="GK307" s="197"/>
      <c r="GL307" s="197"/>
      <c r="GM307" s="197"/>
      <c r="GN307" s="197"/>
      <c r="GO307" s="197"/>
      <c r="GP307" s="197"/>
      <c r="GQ307" s="197"/>
      <c r="GR307" s="197"/>
      <c r="GS307" s="197"/>
      <c r="GT307" s="197"/>
      <c r="GU307" s="197"/>
      <c r="GV307" s="197"/>
      <c r="GW307" s="197"/>
      <c r="GX307" s="197"/>
      <c r="GY307" s="197"/>
      <c r="GZ307" s="197"/>
      <c r="HA307" s="197"/>
      <c r="HB307" s="197"/>
      <c r="HC307" s="197"/>
      <c r="HD307" s="197"/>
      <c r="HE307" s="197"/>
      <c r="HF307" s="197"/>
      <c r="HG307" s="197"/>
      <c r="HH307" s="197"/>
      <c r="HI307" s="197"/>
      <c r="HJ307" s="197"/>
      <c r="HK307" s="197"/>
      <c r="HL307" s="197"/>
      <c r="HM307" s="197"/>
      <c r="HN307" s="197"/>
      <c r="HO307" s="197"/>
      <c r="HP307" s="197"/>
      <c r="HQ307" s="197"/>
      <c r="HR307" s="197"/>
      <c r="HS307" s="197"/>
      <c r="HT307" s="197"/>
      <c r="HU307" s="197"/>
      <c r="HV307" s="197"/>
      <c r="HW307" s="197"/>
      <c r="HX307" s="197"/>
      <c r="HY307" s="197"/>
      <c r="HZ307" s="197"/>
      <c r="IA307" s="197"/>
      <c r="IB307" s="197"/>
      <c r="IC307" s="197"/>
      <c r="ID307" s="197"/>
      <c r="IE307" s="197"/>
      <c r="IF307" s="197"/>
      <c r="IG307" s="197"/>
      <c r="IH307" s="197"/>
      <c r="II307" s="197"/>
      <c r="IJ307" s="197"/>
      <c r="IK307" s="197"/>
      <c r="IL307" s="197"/>
      <c r="IM307" s="197"/>
      <c r="IN307" s="197"/>
      <c r="IO307" s="197"/>
    </row>
    <row r="308" spans="1:252">
      <c r="A308" s="531" t="s">
        <v>605</v>
      </c>
      <c r="B308" s="230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  <c r="AA308" s="179"/>
      <c r="AB308" s="179"/>
      <c r="AC308" s="179"/>
      <c r="AD308" s="179"/>
      <c r="AE308" s="179"/>
      <c r="AF308" s="179"/>
      <c r="AG308" s="179"/>
      <c r="AH308" s="179"/>
      <c r="AI308" s="179"/>
      <c r="AJ308" s="179"/>
      <c r="AK308" s="179"/>
      <c r="AL308" s="179"/>
      <c r="AM308" s="179"/>
      <c r="AN308" s="179"/>
      <c r="AO308" s="179"/>
      <c r="AP308" s="179"/>
      <c r="AQ308" s="179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79"/>
      <c r="BC308" s="179"/>
      <c r="BD308" s="179"/>
      <c r="BE308" s="179"/>
      <c r="BF308" s="179"/>
      <c r="BG308" s="179"/>
      <c r="BH308" s="179"/>
      <c r="BI308" s="179"/>
      <c r="BJ308" s="179"/>
      <c r="BK308" s="179"/>
      <c r="BL308" s="179"/>
      <c r="BM308" s="179"/>
      <c r="BN308" s="179"/>
      <c r="BO308" s="179"/>
      <c r="BP308" s="179"/>
      <c r="BQ308" s="179"/>
      <c r="BR308" s="179"/>
      <c r="BS308" s="179"/>
      <c r="BT308" s="179"/>
      <c r="BU308" s="179"/>
      <c r="BV308" s="179"/>
      <c r="BW308" s="179"/>
      <c r="BX308" s="179"/>
      <c r="BY308" s="179"/>
      <c r="BZ308" s="179"/>
      <c r="CA308" s="179"/>
      <c r="CB308" s="179"/>
      <c r="CC308" s="179"/>
      <c r="CD308" s="179"/>
      <c r="CE308" s="179"/>
      <c r="CF308" s="179"/>
      <c r="CG308" s="179"/>
      <c r="CH308" s="179"/>
      <c r="CI308" s="179"/>
      <c r="CJ308" s="179"/>
      <c r="CK308" s="179"/>
      <c r="CL308" s="179"/>
      <c r="CM308" s="179"/>
      <c r="CN308" s="179"/>
      <c r="CO308" s="179"/>
      <c r="CP308" s="179"/>
      <c r="CQ308" s="179"/>
      <c r="CR308" s="179"/>
      <c r="CS308" s="179"/>
      <c r="CT308" s="179"/>
      <c r="CU308" s="179"/>
      <c r="CV308" s="179"/>
      <c r="CW308" s="179"/>
      <c r="CX308" s="179"/>
      <c r="CY308" s="179"/>
      <c r="CZ308" s="179"/>
      <c r="DA308" s="179"/>
      <c r="DB308" s="179"/>
      <c r="DC308" s="179"/>
      <c r="DD308" s="179"/>
      <c r="DE308" s="179"/>
      <c r="DF308" s="179"/>
      <c r="DG308" s="179"/>
      <c r="DH308" s="179"/>
      <c r="DI308" s="179"/>
      <c r="DJ308" s="179"/>
      <c r="DK308" s="179"/>
      <c r="DL308" s="179"/>
      <c r="DM308" s="179"/>
      <c r="DN308" s="179"/>
      <c r="DO308" s="179"/>
      <c r="DP308" s="179"/>
      <c r="DQ308" s="179"/>
      <c r="DR308" s="179"/>
      <c r="DS308" s="179"/>
      <c r="DT308" s="179"/>
      <c r="DU308" s="179"/>
      <c r="DV308" s="179"/>
      <c r="DW308" s="179"/>
      <c r="DX308" s="179"/>
      <c r="DY308" s="179"/>
      <c r="DZ308" s="179"/>
      <c r="EA308" s="179"/>
      <c r="EB308" s="179"/>
      <c r="EC308" s="179"/>
      <c r="ED308" s="179"/>
      <c r="EE308" s="179"/>
      <c r="EF308" s="179"/>
      <c r="EG308" s="179"/>
      <c r="EH308" s="179"/>
      <c r="EI308" s="179"/>
      <c r="EJ308" s="179"/>
      <c r="EK308" s="179"/>
      <c r="EL308" s="179"/>
      <c r="EM308" s="179"/>
      <c r="EN308" s="179"/>
      <c r="EO308" s="179"/>
      <c r="EP308" s="179"/>
      <c r="EQ308" s="179"/>
      <c r="ER308" s="179"/>
      <c r="ES308" s="179"/>
      <c r="ET308" s="179"/>
      <c r="EU308" s="179"/>
      <c r="EV308" s="179"/>
      <c r="EW308" s="179"/>
      <c r="EX308" s="179"/>
      <c r="EY308" s="179"/>
      <c r="EZ308" s="179"/>
      <c r="FA308" s="179"/>
      <c r="FB308" s="179"/>
      <c r="FC308" s="179"/>
      <c r="FD308" s="179"/>
      <c r="FE308" s="179"/>
      <c r="FF308" s="179"/>
      <c r="FG308" s="179"/>
      <c r="FH308" s="179"/>
      <c r="FI308" s="179"/>
      <c r="FJ308" s="179"/>
      <c r="FK308" s="179"/>
      <c r="FL308" s="179"/>
      <c r="FM308" s="179"/>
      <c r="FN308" s="179"/>
      <c r="FO308" s="179"/>
      <c r="FP308" s="179"/>
      <c r="FQ308" s="179"/>
      <c r="FR308" s="179"/>
      <c r="FS308" s="179"/>
      <c r="FT308" s="179"/>
      <c r="FU308" s="179"/>
      <c r="FV308" s="179"/>
      <c r="FW308" s="179"/>
      <c r="FX308" s="179"/>
      <c r="FY308" s="179"/>
      <c r="FZ308" s="179"/>
      <c r="GA308" s="179"/>
      <c r="GB308" s="179"/>
      <c r="GC308" s="179"/>
      <c r="GD308" s="179"/>
      <c r="GE308" s="179"/>
      <c r="GF308" s="179"/>
      <c r="GG308" s="179"/>
      <c r="GH308" s="179"/>
      <c r="GI308" s="179"/>
      <c r="GJ308" s="179"/>
      <c r="GK308" s="179"/>
      <c r="GL308" s="179"/>
      <c r="GM308" s="179"/>
      <c r="GN308" s="179"/>
      <c r="GO308" s="179"/>
      <c r="GP308" s="179"/>
      <c r="GQ308" s="179"/>
      <c r="GR308" s="179"/>
      <c r="GS308" s="179"/>
      <c r="GT308" s="179"/>
      <c r="GU308" s="179"/>
      <c r="GV308" s="179"/>
      <c r="GW308" s="179"/>
      <c r="GX308" s="179"/>
      <c r="GY308" s="179"/>
      <c r="GZ308" s="179"/>
      <c r="HA308" s="179"/>
      <c r="HB308" s="179"/>
      <c r="HC308" s="179"/>
      <c r="HD308" s="179"/>
      <c r="HE308" s="179"/>
      <c r="HF308" s="179"/>
      <c r="HG308" s="179"/>
      <c r="HH308" s="179"/>
      <c r="HI308" s="179"/>
      <c r="HJ308" s="179"/>
      <c r="HK308" s="179"/>
      <c r="HL308" s="179"/>
      <c r="HM308" s="179"/>
      <c r="HN308" s="179"/>
      <c r="HO308" s="179"/>
      <c r="HP308" s="179"/>
      <c r="HQ308" s="179"/>
      <c r="HR308" s="179"/>
      <c r="HS308" s="179"/>
      <c r="HT308" s="179"/>
      <c r="HU308" s="179"/>
      <c r="HV308" s="179"/>
      <c r="HW308" s="179"/>
      <c r="HX308" s="179"/>
      <c r="HY308" s="179"/>
      <c r="HZ308" s="179"/>
      <c r="IA308" s="179"/>
      <c r="IB308" s="179"/>
      <c r="IC308" s="179"/>
      <c r="ID308" s="179"/>
      <c r="IE308" s="179"/>
      <c r="IF308" s="179"/>
      <c r="IG308" s="179"/>
      <c r="IH308" s="179"/>
      <c r="II308" s="179"/>
      <c r="IJ308" s="179"/>
      <c r="IK308" s="179"/>
      <c r="IL308" s="179"/>
      <c r="IM308" s="179"/>
      <c r="IN308" s="179"/>
      <c r="IO308" s="179"/>
      <c r="IP308" s="179"/>
      <c r="IQ308" s="179"/>
      <c r="IR308" s="179"/>
    </row>
    <row r="310" spans="1:252">
      <c r="A310" s="321" t="s">
        <v>519</v>
      </c>
      <c r="B310">
        <f>5.94*B285*12</f>
        <v>364967.85600000003</v>
      </c>
    </row>
    <row r="311" spans="1:252">
      <c r="B311" s="276">
        <f>B294+B310</f>
        <v>1340748.2820835747</v>
      </c>
    </row>
    <row r="312" spans="1:252">
      <c r="B312">
        <f>B311/B294</f>
        <v>1.3740266214038004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1"/>
  <sheetViews>
    <sheetView topLeftCell="A50" workbookViewId="0">
      <selection activeCell="A57" sqref="A57:D79"/>
    </sheetView>
  </sheetViews>
  <sheetFormatPr defaultRowHeight="15"/>
  <cols>
    <col min="1" max="1" width="83.7109375" customWidth="1"/>
    <col min="2" max="2" width="19.5703125" hidden="1" customWidth="1"/>
    <col min="3" max="3" width="22.42578125" customWidth="1"/>
    <col min="4" max="4" width="13.28515625" customWidth="1"/>
  </cols>
  <sheetData>
    <row r="1" spans="1:6" ht="15.75">
      <c r="A1" s="701" t="s">
        <v>230</v>
      </c>
      <c r="B1" s="701"/>
      <c r="C1" s="701"/>
      <c r="D1" s="701"/>
    </row>
    <row r="2" spans="1:6" ht="15.75">
      <c r="A2" s="702" t="s">
        <v>239</v>
      </c>
      <c r="B2" s="702"/>
      <c r="C2" s="702"/>
      <c r="D2" s="702"/>
    </row>
    <row r="3" spans="1:6" s="55" customFormat="1" ht="15.75">
      <c r="A3" s="702" t="s">
        <v>982</v>
      </c>
      <c r="B3" s="702"/>
      <c r="C3" s="702"/>
      <c r="D3" s="702"/>
    </row>
    <row r="4" spans="1:6">
      <c r="A4" s="263" t="s">
        <v>229</v>
      </c>
      <c r="B4" s="277"/>
      <c r="C4" s="83" t="s">
        <v>231</v>
      </c>
      <c r="D4" s="82" t="s">
        <v>300</v>
      </c>
    </row>
    <row r="5" spans="1:6" ht="15.75" thickBot="1">
      <c r="A5" s="263" t="s">
        <v>229</v>
      </c>
      <c r="B5" s="172"/>
      <c r="C5" s="73"/>
      <c r="D5" s="73"/>
    </row>
    <row r="6" spans="1:6" ht="15.75" thickBot="1">
      <c r="A6" s="264" t="s">
        <v>897</v>
      </c>
      <c r="B6" s="133"/>
      <c r="C6" s="72"/>
      <c r="D6" s="76"/>
    </row>
    <row r="7" spans="1:6">
      <c r="A7" s="266" t="s">
        <v>57</v>
      </c>
      <c r="B7" s="174"/>
      <c r="C7" s="123"/>
      <c r="D7" s="79"/>
    </row>
    <row r="8" spans="1:6">
      <c r="A8" s="267" t="s">
        <v>878</v>
      </c>
      <c r="B8" s="267"/>
      <c r="C8" s="72" t="s">
        <v>879</v>
      </c>
      <c r="D8" s="72">
        <v>9</v>
      </c>
    </row>
    <row r="9" spans="1:6" s="73" customFormat="1">
      <c r="A9" s="271" t="s">
        <v>882</v>
      </c>
      <c r="B9" s="281"/>
      <c r="C9" s="72" t="s">
        <v>851</v>
      </c>
      <c r="D9" s="72">
        <v>4</v>
      </c>
    </row>
    <row r="10" spans="1:6" s="73" customFormat="1" ht="42.75">
      <c r="A10" s="271" t="s">
        <v>899</v>
      </c>
      <c r="B10" s="281"/>
      <c r="C10" s="72" t="s">
        <v>269</v>
      </c>
      <c r="D10" s="72">
        <v>2</v>
      </c>
    </row>
    <row r="11" spans="1:6" s="73" customFormat="1">
      <c r="A11" s="72" t="s">
        <v>884</v>
      </c>
      <c r="B11" s="72"/>
      <c r="C11" s="72" t="s">
        <v>883</v>
      </c>
      <c r="D11" s="72">
        <v>18</v>
      </c>
      <c r="E11" s="73" t="s">
        <v>656</v>
      </c>
      <c r="F11" s="73" t="s">
        <v>887</v>
      </c>
    </row>
    <row r="12" spans="1:6" s="73" customFormat="1">
      <c r="A12" s="72" t="s">
        <v>885</v>
      </c>
      <c r="B12" s="72"/>
      <c r="C12" s="72" t="s">
        <v>275</v>
      </c>
      <c r="D12" s="72">
        <v>1</v>
      </c>
    </row>
    <row r="13" spans="1:6" s="73" customFormat="1" ht="15" customHeight="1">
      <c r="A13" s="271" t="s">
        <v>888</v>
      </c>
      <c r="B13" s="281"/>
      <c r="C13" s="72" t="s">
        <v>889</v>
      </c>
      <c r="D13" s="72">
        <v>9</v>
      </c>
      <c r="E13" s="73" t="s">
        <v>656</v>
      </c>
      <c r="F13" s="73" t="s">
        <v>890</v>
      </c>
    </row>
    <row r="14" spans="1:6" s="73" customFormat="1" ht="29.25" customHeight="1">
      <c r="A14" s="268" t="s">
        <v>893</v>
      </c>
      <c r="B14" s="268"/>
      <c r="C14" s="72" t="s">
        <v>552</v>
      </c>
      <c r="D14" s="72">
        <v>4</v>
      </c>
    </row>
    <row r="15" spans="1:6" s="73" customFormat="1" ht="34.5" customHeight="1">
      <c r="A15" s="272" t="s">
        <v>894</v>
      </c>
      <c r="B15" s="282"/>
      <c r="C15" s="72" t="s">
        <v>607</v>
      </c>
      <c r="D15" s="72">
        <v>4</v>
      </c>
    </row>
    <row r="16" spans="1:6" s="73" customFormat="1" ht="34.5" customHeight="1">
      <c r="A16" s="275" t="s">
        <v>900</v>
      </c>
      <c r="B16" s="287"/>
      <c r="C16" s="72" t="s">
        <v>901</v>
      </c>
      <c r="D16" s="72">
        <v>2</v>
      </c>
    </row>
    <row r="17" spans="1:252">
      <c r="A17" s="173" t="s">
        <v>68</v>
      </c>
      <c r="B17" s="173"/>
      <c r="C17" s="76"/>
      <c r="D17" s="76"/>
    </row>
    <row r="18" spans="1:252" s="73" customFormat="1" ht="20.25" customHeight="1">
      <c r="A18" s="271" t="s">
        <v>895</v>
      </c>
      <c r="B18" s="281"/>
      <c r="C18" s="72" t="s">
        <v>341</v>
      </c>
      <c r="D18" s="72">
        <v>4</v>
      </c>
    </row>
    <row r="19" spans="1:252" s="73" customFormat="1" ht="30" customHeight="1">
      <c r="A19" s="271" t="s">
        <v>896</v>
      </c>
      <c r="B19" s="281"/>
      <c r="C19" s="72" t="s">
        <v>309</v>
      </c>
      <c r="D19" s="72">
        <v>4</v>
      </c>
    </row>
    <row r="20" spans="1:252">
      <c r="A20" s="283" t="s">
        <v>590</v>
      </c>
      <c r="B20" s="283"/>
      <c r="C20" s="76"/>
      <c r="D20" s="76"/>
    </row>
    <row r="21" spans="1:252" s="73" customFormat="1" ht="31.5" customHeight="1">
      <c r="A21" s="270" t="s">
        <v>891</v>
      </c>
      <c r="B21" s="279"/>
      <c r="C21" s="72" t="s">
        <v>410</v>
      </c>
      <c r="D21" s="72">
        <v>8</v>
      </c>
    </row>
    <row r="22" spans="1:252" s="73" customFormat="1" ht="21.75" customHeight="1" thickBot="1">
      <c r="A22" s="270" t="s">
        <v>892</v>
      </c>
      <c r="B22" s="279"/>
      <c r="C22" s="72" t="s">
        <v>866</v>
      </c>
      <c r="D22" s="72">
        <v>4</v>
      </c>
    </row>
    <row r="23" spans="1:252" ht="15.75" customHeight="1">
      <c r="A23" s="273" t="s">
        <v>102</v>
      </c>
      <c r="B23" s="286"/>
      <c r="C23" s="76"/>
      <c r="D23" s="76"/>
    </row>
    <row r="24" spans="1:252" s="73" customFormat="1" ht="28.5">
      <c r="A24" s="269" t="s">
        <v>880</v>
      </c>
      <c r="B24" s="278"/>
      <c r="C24" s="72" t="s">
        <v>881</v>
      </c>
      <c r="D24" s="72">
        <v>12</v>
      </c>
    </row>
    <row r="25" spans="1:252" s="73" customFormat="1" ht="28.5">
      <c r="A25" s="269" t="s">
        <v>886</v>
      </c>
      <c r="B25" s="278"/>
      <c r="C25" s="72" t="s">
        <v>241</v>
      </c>
      <c r="D25" s="72">
        <v>1.5</v>
      </c>
    </row>
    <row r="26" spans="1:252" s="73" customFormat="1">
      <c r="A26" s="269" t="s">
        <v>902</v>
      </c>
      <c r="B26" s="278"/>
      <c r="C26" s="72" t="s">
        <v>241</v>
      </c>
      <c r="D26" s="72">
        <v>1.5</v>
      </c>
    </row>
    <row r="27" spans="1:252" s="73" customFormat="1">
      <c r="A27" s="269" t="s">
        <v>903</v>
      </c>
      <c r="B27" s="278"/>
      <c r="C27" s="72" t="s">
        <v>241</v>
      </c>
      <c r="D27" s="72">
        <v>0.5</v>
      </c>
    </row>
    <row r="28" spans="1:252" s="73" customFormat="1" ht="28.5">
      <c r="A28" s="278" t="s">
        <v>985</v>
      </c>
      <c r="B28" s="278"/>
      <c r="C28" s="72" t="s">
        <v>241</v>
      </c>
      <c r="D28" s="72">
        <v>0.5</v>
      </c>
    </row>
    <row r="29" spans="1:252" s="73" customFormat="1" ht="15.75" thickBot="1">
      <c r="A29" s="274" t="s">
        <v>104</v>
      </c>
      <c r="B29" s="280"/>
      <c r="C29" s="72"/>
      <c r="D29" s="72">
        <f>SUM(D8:D28)</f>
        <v>89</v>
      </c>
    </row>
    <row r="30" spans="1:252">
      <c r="A30" s="78"/>
      <c r="B30" s="78"/>
      <c r="C30" s="75"/>
      <c r="D30" s="75"/>
    </row>
    <row r="31" spans="1:252" s="179" customFormat="1" ht="43.5" customHeight="1">
      <c r="A31" s="285" t="s">
        <v>904</v>
      </c>
      <c r="B31" s="285"/>
      <c r="D31" s="219"/>
      <c r="IR31"/>
    </row>
    <row r="32" spans="1:252" s="179" customFormat="1" ht="43.5" customHeight="1">
      <c r="A32" s="293" t="s">
        <v>654</v>
      </c>
      <c r="B32" s="295" t="s">
        <v>991</v>
      </c>
      <c r="C32" s="294" t="s">
        <v>990</v>
      </c>
      <c r="D32" s="294" t="s">
        <v>988</v>
      </c>
      <c r="E32" s="304" t="s">
        <v>989</v>
      </c>
      <c r="IR32"/>
    </row>
    <row r="33" spans="1:251">
      <c r="A33" s="291" t="s">
        <v>593</v>
      </c>
      <c r="B33" s="292">
        <v>222.1</v>
      </c>
      <c r="C33" s="292">
        <v>222.1</v>
      </c>
      <c r="D33" s="181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  <c r="II33" s="179"/>
      <c r="IJ33" s="179"/>
      <c r="IK33" s="179"/>
      <c r="IL33" s="179"/>
      <c r="IM33" s="179"/>
      <c r="IN33" s="179"/>
      <c r="IO33" s="179"/>
      <c r="IP33" s="179"/>
      <c r="IQ33" s="179"/>
    </row>
    <row r="34" spans="1:251">
      <c r="A34" s="180" t="s">
        <v>594</v>
      </c>
      <c r="B34" s="196">
        <v>30.24</v>
      </c>
      <c r="C34" s="196">
        <v>30.24</v>
      </c>
      <c r="D34" s="181">
        <f>D43+D44+D45+D46+D47+D48+D50+D52</f>
        <v>31.970000000000002</v>
      </c>
      <c r="E34" s="179">
        <f>D34/C34</f>
        <v>1.0572089947089949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  <c r="II34" s="179"/>
      <c r="IJ34" s="179"/>
      <c r="IK34" s="179"/>
      <c r="IL34" s="179"/>
      <c r="IM34" s="179"/>
      <c r="IN34" s="179"/>
      <c r="IO34" s="179"/>
      <c r="IP34" s="179"/>
      <c r="IQ34" s="179"/>
    </row>
    <row r="35" spans="1:251">
      <c r="A35" s="181" t="s">
        <v>711</v>
      </c>
      <c r="B35" s="193">
        <v>1327.24</v>
      </c>
      <c r="C35" s="193">
        <v>1327.24</v>
      </c>
      <c r="D35" s="181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  <c r="IM35" s="179"/>
      <c r="IN35" s="179"/>
      <c r="IO35" s="179"/>
      <c r="IP35" s="179"/>
      <c r="IQ35" s="179"/>
    </row>
    <row r="36" spans="1:251">
      <c r="A36" s="181" t="s">
        <v>980</v>
      </c>
      <c r="B36" s="193">
        <f>B34*B33*12+325.5</f>
        <v>80921.147999999986</v>
      </c>
      <c r="C36" s="193">
        <f>C34*C33*12+325.5</f>
        <v>80921.147999999986</v>
      </c>
      <c r="D36" s="181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79"/>
      <c r="GN36" s="179"/>
      <c r="GO36" s="179"/>
      <c r="GP36" s="179"/>
      <c r="GQ36" s="179"/>
      <c r="GR36" s="179"/>
      <c r="GS36" s="179"/>
      <c r="GT36" s="179"/>
      <c r="GU36" s="179"/>
      <c r="GV36" s="179"/>
      <c r="GW36" s="179"/>
      <c r="GX36" s="179"/>
      <c r="GY36" s="179"/>
      <c r="GZ36" s="179"/>
      <c r="HA36" s="179"/>
      <c r="HB36" s="179"/>
      <c r="HC36" s="179"/>
      <c r="HD36" s="179"/>
      <c r="HE36" s="179"/>
      <c r="HF36" s="179"/>
      <c r="HG36" s="179"/>
      <c r="HH36" s="179"/>
      <c r="HI36" s="179"/>
      <c r="HJ36" s="179"/>
      <c r="HK36" s="179"/>
      <c r="HL36" s="179"/>
      <c r="HM36" s="179"/>
      <c r="HN36" s="179"/>
      <c r="HO36" s="179"/>
      <c r="HP36" s="179"/>
      <c r="HQ36" s="179"/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  <c r="II36" s="179"/>
      <c r="IJ36" s="179"/>
      <c r="IK36" s="179"/>
      <c r="IL36" s="179"/>
      <c r="IM36" s="179"/>
      <c r="IN36" s="179"/>
      <c r="IO36" s="179"/>
      <c r="IP36" s="179"/>
      <c r="IQ36" s="179"/>
    </row>
    <row r="37" spans="1:251">
      <c r="A37" s="181" t="s">
        <v>981</v>
      </c>
      <c r="B37" s="193">
        <v>76281</v>
      </c>
      <c r="C37" s="193">
        <v>76281</v>
      </c>
      <c r="D37" s="181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79"/>
      <c r="GN37" s="179"/>
      <c r="GO37" s="179"/>
      <c r="GP37" s="179"/>
      <c r="GQ37" s="179"/>
      <c r="GR37" s="179"/>
      <c r="GS37" s="179"/>
      <c r="GT37" s="179"/>
      <c r="GU37" s="179"/>
      <c r="GV37" s="179"/>
      <c r="GW37" s="179"/>
      <c r="GX37" s="179"/>
      <c r="GY37" s="179"/>
      <c r="GZ37" s="179"/>
      <c r="HA37" s="179"/>
      <c r="HB37" s="179"/>
      <c r="HC37" s="179"/>
      <c r="HD37" s="179"/>
      <c r="HE37" s="179"/>
      <c r="HF37" s="179"/>
      <c r="HG37" s="179"/>
      <c r="HH37" s="179"/>
      <c r="HI37" s="179"/>
      <c r="HJ37" s="179"/>
      <c r="HK37" s="179"/>
      <c r="HL37" s="179"/>
      <c r="HM37" s="179"/>
      <c r="HN37" s="179"/>
      <c r="HO37" s="179"/>
      <c r="HP37" s="179"/>
      <c r="HQ37" s="179"/>
      <c r="HR37" s="179"/>
      <c r="HS37" s="179"/>
      <c r="HT37" s="179"/>
      <c r="HU37" s="179"/>
      <c r="HV37" s="179"/>
      <c r="HW37" s="179"/>
      <c r="HX37" s="179"/>
      <c r="HY37" s="179"/>
      <c r="HZ37" s="179"/>
      <c r="IA37" s="179"/>
      <c r="IB37" s="179"/>
      <c r="IC37" s="179"/>
      <c r="ID37" s="179"/>
      <c r="IE37" s="179"/>
      <c r="IF37" s="179"/>
      <c r="IG37" s="179"/>
      <c r="IH37" s="179"/>
      <c r="II37" s="179"/>
      <c r="IJ37" s="179"/>
      <c r="IK37" s="179"/>
      <c r="IL37" s="179"/>
      <c r="IM37" s="179"/>
      <c r="IN37" s="179"/>
      <c r="IO37" s="179"/>
      <c r="IP37" s="179"/>
      <c r="IQ37" s="179"/>
    </row>
    <row r="38" spans="1:251">
      <c r="A38" s="181" t="s">
        <v>979</v>
      </c>
      <c r="B38" s="193">
        <v>5967.39</v>
      </c>
      <c r="C38" s="193">
        <v>5967.39</v>
      </c>
      <c r="D38" s="181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  <c r="GV38" s="179"/>
      <c r="GW38" s="179"/>
      <c r="GX38" s="179"/>
      <c r="GY38" s="179"/>
      <c r="GZ38" s="179"/>
      <c r="HA38" s="179"/>
      <c r="HB38" s="179"/>
      <c r="HC38" s="179"/>
      <c r="HD38" s="179"/>
      <c r="HE38" s="179"/>
      <c r="HF38" s="179"/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79"/>
      <c r="IN38" s="179"/>
      <c r="IO38" s="179"/>
      <c r="IP38" s="179"/>
      <c r="IQ38" s="179"/>
    </row>
    <row r="39" spans="1:251" ht="29.25" customHeight="1">
      <c r="A39" s="216" t="s">
        <v>983</v>
      </c>
      <c r="B39" s="196">
        <f>B37</f>
        <v>76281</v>
      </c>
      <c r="C39" s="196">
        <f>C37</f>
        <v>76281</v>
      </c>
      <c r="D39" s="181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79"/>
      <c r="GN39" s="179"/>
      <c r="GO39" s="179"/>
      <c r="GP39" s="179"/>
      <c r="GQ39" s="179"/>
      <c r="GR39" s="179"/>
      <c r="GS39" s="179"/>
      <c r="GT39" s="179"/>
      <c r="GU39" s="179"/>
      <c r="GV39" s="179"/>
      <c r="GW39" s="179"/>
      <c r="GX39" s="179"/>
      <c r="GY39" s="179"/>
      <c r="GZ39" s="179"/>
      <c r="HA39" s="179"/>
      <c r="HB39" s="179"/>
      <c r="HC39" s="179"/>
      <c r="HD39" s="179"/>
      <c r="HE39" s="179"/>
      <c r="HF39" s="179"/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  <c r="ID39" s="179"/>
      <c r="IE39" s="179"/>
      <c r="IF39" s="179"/>
      <c r="IG39" s="179"/>
      <c r="IH39" s="179"/>
      <c r="II39" s="179"/>
      <c r="IJ39" s="179"/>
      <c r="IK39" s="179"/>
      <c r="IL39" s="179"/>
      <c r="IM39" s="179"/>
      <c r="IN39" s="179"/>
      <c r="IO39" s="179"/>
      <c r="IP39" s="179"/>
      <c r="IQ39" s="179"/>
    </row>
    <row r="40" spans="1:251">
      <c r="A40" s="179"/>
      <c r="B40" s="213"/>
      <c r="C40" s="213"/>
      <c r="D40" s="181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  <c r="GN40" s="179"/>
      <c r="GO40" s="179"/>
      <c r="GP40" s="179"/>
      <c r="GQ40" s="179"/>
      <c r="GR40" s="179"/>
      <c r="GS40" s="179"/>
      <c r="GT40" s="179"/>
      <c r="GU40" s="179"/>
      <c r="GV40" s="179"/>
      <c r="GW40" s="179"/>
      <c r="GX40" s="179"/>
      <c r="GY40" s="179"/>
      <c r="GZ40" s="179"/>
      <c r="HA40" s="179"/>
      <c r="HB40" s="179"/>
      <c r="HC40" s="179"/>
      <c r="HD40" s="179"/>
      <c r="HE40" s="179"/>
      <c r="HF40" s="179"/>
      <c r="HG40" s="179"/>
      <c r="HH40" s="179"/>
      <c r="HI40" s="179"/>
      <c r="HJ40" s="179"/>
      <c r="HK40" s="179"/>
      <c r="HL40" s="179"/>
      <c r="HM40" s="179"/>
      <c r="HN40" s="179"/>
      <c r="HO40" s="179"/>
      <c r="HP40" s="179"/>
      <c r="HQ40" s="179"/>
      <c r="HR40" s="179"/>
      <c r="HS40" s="179"/>
      <c r="HT40" s="179"/>
      <c r="HU40" s="179"/>
      <c r="HV40" s="179"/>
      <c r="HW40" s="179"/>
      <c r="HX40" s="179"/>
      <c r="HY40" s="179"/>
      <c r="HZ40" s="179"/>
      <c r="IA40" s="179"/>
      <c r="IB40" s="179"/>
      <c r="IC40" s="179"/>
      <c r="ID40" s="179"/>
      <c r="IE40" s="179"/>
      <c r="IF40" s="179"/>
      <c r="IG40" s="179"/>
      <c r="IH40" s="179"/>
      <c r="II40" s="179"/>
      <c r="IJ40" s="179"/>
      <c r="IK40" s="179"/>
      <c r="IL40" s="179"/>
      <c r="IM40" s="179"/>
      <c r="IN40" s="179"/>
      <c r="IO40" s="179"/>
      <c r="IP40" s="179"/>
      <c r="IQ40" s="179"/>
    </row>
    <row r="41" spans="1:251">
      <c r="A41" s="217" t="s">
        <v>984</v>
      </c>
      <c r="B41" s="198">
        <v>85587.45</v>
      </c>
      <c r="C41" s="198">
        <f>C43+C44+C45+C46+C47+C48+C50+C51+C52</f>
        <v>73294.566597950325</v>
      </c>
      <c r="D41" s="184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  <c r="GV41" s="179"/>
      <c r="GW41" s="179"/>
      <c r="GX41" s="179"/>
      <c r="GY41" s="179"/>
      <c r="GZ41" s="179"/>
      <c r="HA41" s="179"/>
      <c r="HB41" s="179"/>
      <c r="HC41" s="179"/>
      <c r="HD41" s="179"/>
      <c r="HE41" s="179"/>
      <c r="HF41" s="179"/>
      <c r="HG41" s="179"/>
      <c r="HH41" s="179"/>
      <c r="HI41" s="179"/>
      <c r="HJ41" s="179"/>
      <c r="HK41" s="179"/>
      <c r="HL41" s="179"/>
      <c r="HM41" s="179"/>
      <c r="HN41" s="179"/>
      <c r="HO41" s="179"/>
      <c r="HP41" s="179"/>
      <c r="HQ41" s="179"/>
      <c r="HR41" s="179"/>
      <c r="HS41" s="179"/>
      <c r="HT41" s="179"/>
      <c r="HU41" s="179"/>
      <c r="HV41" s="179"/>
      <c r="HW41" s="179"/>
      <c r="HX41" s="179"/>
      <c r="HY41" s="179"/>
      <c r="HZ41" s="179"/>
      <c r="IA41" s="179"/>
      <c r="IB41" s="179"/>
      <c r="IC41" s="179"/>
      <c r="ID41" s="179"/>
      <c r="IE41" s="179"/>
      <c r="IF41" s="179"/>
      <c r="IG41" s="179"/>
      <c r="IH41" s="179"/>
      <c r="II41" s="179"/>
      <c r="IJ41" s="179"/>
      <c r="IK41" s="179"/>
      <c r="IL41" s="179"/>
      <c r="IM41" s="179"/>
      <c r="IN41" s="179"/>
      <c r="IO41" s="179"/>
      <c r="IP41" s="179"/>
      <c r="IQ41" s="179"/>
    </row>
    <row r="42" spans="1:251">
      <c r="A42" s="218" t="s">
        <v>599</v>
      </c>
      <c r="B42" s="193"/>
      <c r="C42" s="193"/>
      <c r="D42" s="181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  <c r="GU42" s="179"/>
      <c r="GV42" s="179"/>
      <c r="GW42" s="179"/>
      <c r="GX42" s="179"/>
      <c r="GY42" s="179"/>
      <c r="GZ42" s="179"/>
      <c r="HA42" s="179"/>
      <c r="HB42" s="179"/>
      <c r="HC42" s="179"/>
      <c r="HD42" s="179"/>
      <c r="HE42" s="179"/>
      <c r="HF42" s="179"/>
      <c r="HG42" s="179"/>
      <c r="HH42" s="179"/>
      <c r="HI42" s="179"/>
      <c r="HJ42" s="179"/>
      <c r="HK42" s="179"/>
      <c r="HL42" s="179"/>
      <c r="HM42" s="179"/>
      <c r="HN42" s="179"/>
      <c r="HO42" s="179"/>
      <c r="HP42" s="179"/>
      <c r="HQ42" s="179"/>
      <c r="HR42" s="179"/>
      <c r="HS42" s="179"/>
      <c r="HT42" s="179"/>
      <c r="HU42" s="179"/>
      <c r="HV42" s="179"/>
      <c r="HW42" s="179"/>
      <c r="HX42" s="179"/>
      <c r="HY42" s="179"/>
      <c r="HZ42" s="179"/>
      <c r="IA42" s="179"/>
      <c r="IB42" s="179"/>
      <c r="IC42" s="179"/>
      <c r="ID42" s="179"/>
      <c r="IE42" s="179"/>
      <c r="IF42" s="179"/>
      <c r="IG42" s="179"/>
      <c r="IH42" s="179"/>
      <c r="II42" s="179"/>
      <c r="IJ42" s="179"/>
      <c r="IK42" s="179"/>
      <c r="IL42" s="179"/>
      <c r="IM42" s="179"/>
      <c r="IN42" s="179"/>
      <c r="IO42" s="179"/>
      <c r="IP42" s="179"/>
      <c r="IQ42" s="179"/>
    </row>
    <row r="43" spans="1:251">
      <c r="A43" s="218" t="s">
        <v>521</v>
      </c>
      <c r="B43" s="194">
        <v>7335.19</v>
      </c>
      <c r="C43" s="194">
        <v>4652.2299999999996</v>
      </c>
      <c r="D43" s="181">
        <f>ROUND(E43/C33/12,2)</f>
        <v>2.75</v>
      </c>
      <c r="E43" s="192">
        <f>B41-E44-E45-E47-E48-E50-E51-E52-E46</f>
        <v>7335.1862783366323</v>
      </c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  <c r="GV43" s="179"/>
      <c r="GW43" s="179"/>
      <c r="GX43" s="179"/>
      <c r="GY43" s="179"/>
      <c r="GZ43" s="179"/>
      <c r="HA43" s="179"/>
      <c r="HB43" s="179"/>
      <c r="HC43" s="179"/>
      <c r="HD43" s="179"/>
      <c r="HE43" s="179"/>
      <c r="HF43" s="179"/>
      <c r="HG43" s="179"/>
      <c r="HH43" s="179"/>
      <c r="HI43" s="179"/>
      <c r="HJ43" s="179"/>
      <c r="HK43" s="179"/>
      <c r="HL43" s="179"/>
      <c r="HM43" s="179"/>
      <c r="HN43" s="179"/>
      <c r="HO43" s="179"/>
      <c r="HP43" s="179"/>
      <c r="HQ43" s="179"/>
      <c r="HR43" s="179"/>
      <c r="HS43" s="179"/>
      <c r="HT43" s="179"/>
      <c r="HU43" s="179"/>
      <c r="HV43" s="179"/>
      <c r="HW43" s="179"/>
      <c r="HX43" s="179"/>
      <c r="HY43" s="179"/>
      <c r="HZ43" s="179"/>
      <c r="IA43" s="179"/>
      <c r="IB43" s="179"/>
      <c r="IC43" s="179"/>
      <c r="ID43" s="179"/>
      <c r="IE43" s="179"/>
      <c r="IF43" s="179"/>
      <c r="IG43" s="179"/>
      <c r="IH43" s="179"/>
      <c r="II43" s="179"/>
      <c r="IJ43" s="179"/>
      <c r="IK43" s="179"/>
      <c r="IL43" s="179"/>
      <c r="IM43" s="179"/>
      <c r="IN43" s="179"/>
      <c r="IO43" s="179"/>
      <c r="IP43" s="179"/>
      <c r="IQ43" s="179"/>
    </row>
    <row r="44" spans="1:251" s="73" customFormat="1" ht="15.75">
      <c r="A44" s="214" t="s">
        <v>591</v>
      </c>
      <c r="B44" s="176">
        <v>39565.980000000003</v>
      </c>
      <c r="C44" s="176">
        <v>34707</v>
      </c>
      <c r="D44" s="72">
        <f>ROUND(E44/C33/12,2)</f>
        <v>14.85</v>
      </c>
      <c r="E44" s="73">
        <f>C44*1.14</f>
        <v>39565.979999999996</v>
      </c>
    </row>
    <row r="45" spans="1:251">
      <c r="A45" s="218" t="s">
        <v>520</v>
      </c>
      <c r="B45" s="194">
        <v>2704.11</v>
      </c>
      <c r="C45" s="194">
        <f>0.89*C33*12</f>
        <v>2372.0280000000002</v>
      </c>
      <c r="D45" s="181">
        <f>ROUND(E45/C33/12,2)</f>
        <v>1.01</v>
      </c>
      <c r="E45" s="73">
        <f t="shared" ref="E45:E52" si="0">C45*1.14</f>
        <v>2704.1119199999998</v>
      </c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79"/>
      <c r="HL45" s="179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179"/>
      <c r="IA45" s="179"/>
      <c r="IB45" s="179"/>
      <c r="IC45" s="179"/>
      <c r="ID45" s="179"/>
      <c r="IE45" s="179"/>
      <c r="IF45" s="179"/>
      <c r="IG45" s="179"/>
      <c r="IH45" s="179"/>
      <c r="II45" s="179"/>
      <c r="IJ45" s="179"/>
      <c r="IK45" s="179"/>
      <c r="IL45" s="179"/>
      <c r="IM45" s="179"/>
      <c r="IN45" s="179"/>
      <c r="IO45" s="179"/>
      <c r="IP45" s="179"/>
      <c r="IQ45" s="179"/>
    </row>
    <row r="46" spans="1:251">
      <c r="A46" s="218" t="s">
        <v>987</v>
      </c>
      <c r="B46" s="194">
        <v>776.99</v>
      </c>
      <c r="C46" s="194">
        <f>107942.65*1.302/45797.5*C33</f>
        <v>681.57059795032478</v>
      </c>
      <c r="D46" s="181">
        <f>ROUND(E46/C33/12,2)</f>
        <v>0.28999999999999998</v>
      </c>
      <c r="E46" s="73">
        <f t="shared" si="0"/>
        <v>776.99048166337013</v>
      </c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  <c r="GU46" s="179"/>
      <c r="GV46" s="179"/>
      <c r="GW46" s="179"/>
      <c r="GX46" s="179"/>
      <c r="GY46" s="179"/>
      <c r="GZ46" s="179"/>
      <c r="HA46" s="179"/>
      <c r="HB46" s="179"/>
      <c r="HC46" s="179"/>
      <c r="HD46" s="179"/>
      <c r="HE46" s="179"/>
      <c r="HF46" s="179"/>
      <c r="HG46" s="179"/>
      <c r="HH46" s="179"/>
      <c r="HI46" s="179"/>
      <c r="HJ46" s="179"/>
      <c r="HK46" s="179"/>
      <c r="HL46" s="179"/>
      <c r="HM46" s="179"/>
      <c r="HN46" s="179"/>
      <c r="HO46" s="179"/>
      <c r="HP46" s="179"/>
      <c r="HQ46" s="179"/>
      <c r="HR46" s="179"/>
      <c r="HS46" s="179"/>
      <c r="HT46" s="179"/>
      <c r="HU46" s="179"/>
      <c r="HV46" s="179"/>
      <c r="HW46" s="179"/>
      <c r="HX46" s="179"/>
      <c r="HY46" s="179"/>
      <c r="HZ46" s="179"/>
      <c r="IA46" s="179"/>
      <c r="IB46" s="179"/>
      <c r="IC46" s="179"/>
      <c r="ID46" s="179"/>
      <c r="IE46" s="179"/>
      <c r="IF46" s="179"/>
      <c r="IG46" s="179"/>
      <c r="IH46" s="179"/>
      <c r="II46" s="179"/>
      <c r="IJ46" s="179"/>
      <c r="IK46" s="179"/>
      <c r="IL46" s="179"/>
      <c r="IM46" s="179"/>
      <c r="IN46" s="179"/>
      <c r="IO46" s="179"/>
      <c r="IP46" s="179"/>
      <c r="IQ46" s="179"/>
    </row>
    <row r="47" spans="1:251">
      <c r="A47" s="181" t="s">
        <v>898</v>
      </c>
      <c r="B47" s="194">
        <v>12312</v>
      </c>
      <c r="C47" s="194">
        <f>6*1800</f>
        <v>10800</v>
      </c>
      <c r="D47" s="181">
        <f>ROUND(E47/C33/12,2)</f>
        <v>4.62</v>
      </c>
      <c r="E47" s="73">
        <f t="shared" si="0"/>
        <v>12311.999999999998</v>
      </c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179"/>
      <c r="IM47" s="179"/>
      <c r="IN47" s="179"/>
      <c r="IO47" s="179"/>
      <c r="IP47" s="179"/>
      <c r="IQ47" s="179"/>
    </row>
    <row r="48" spans="1:251">
      <c r="A48" s="181" t="s">
        <v>611</v>
      </c>
      <c r="B48" s="194">
        <v>3241.67</v>
      </c>
      <c r="C48" s="194">
        <f>0.02*9100*12*1.302</f>
        <v>2843.5680000000002</v>
      </c>
      <c r="D48" s="181">
        <f>ROUND(E48/C33/12,2)</f>
        <v>1.22</v>
      </c>
      <c r="E48" s="73">
        <f t="shared" si="0"/>
        <v>3241.66752</v>
      </c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  <c r="GV48" s="179"/>
      <c r="GW48" s="179"/>
      <c r="GX48" s="179"/>
      <c r="GY48" s="179"/>
      <c r="GZ48" s="179"/>
      <c r="HA48" s="179"/>
      <c r="HB48" s="179"/>
      <c r="HC48" s="179"/>
      <c r="HD48" s="179"/>
      <c r="HE48" s="179"/>
      <c r="HF48" s="179"/>
      <c r="HG48" s="179"/>
      <c r="HH48" s="179"/>
      <c r="HI48" s="179"/>
      <c r="HJ48" s="179"/>
      <c r="HK48" s="179"/>
      <c r="HL48" s="179"/>
      <c r="HM48" s="179"/>
      <c r="HN48" s="179"/>
      <c r="HO48" s="179"/>
      <c r="HP48" s="179"/>
      <c r="HQ48" s="179"/>
      <c r="HR48" s="179"/>
      <c r="HS48" s="179"/>
      <c r="HT48" s="179"/>
      <c r="HU48" s="179"/>
      <c r="HV48" s="179"/>
      <c r="HW48" s="179"/>
      <c r="HX48" s="179"/>
      <c r="HY48" s="179"/>
      <c r="HZ48" s="179"/>
      <c r="IA48" s="179"/>
      <c r="IB48" s="179"/>
      <c r="IC48" s="179"/>
      <c r="ID48" s="179"/>
      <c r="IE48" s="179"/>
      <c r="IF48" s="179"/>
      <c r="IG48" s="179"/>
      <c r="IH48" s="179"/>
      <c r="II48" s="179"/>
      <c r="IJ48" s="179"/>
      <c r="IK48" s="179"/>
      <c r="IL48" s="179"/>
      <c r="IM48" s="179"/>
      <c r="IN48" s="179"/>
      <c r="IO48" s="179"/>
      <c r="IP48" s="179"/>
      <c r="IQ48" s="179"/>
    </row>
    <row r="49" spans="1:252">
      <c r="A49" s="181" t="s">
        <v>602</v>
      </c>
      <c r="B49" s="194">
        <v>89</v>
      </c>
      <c r="C49" s="194">
        <f>D29</f>
        <v>89</v>
      </c>
      <c r="D49" s="181"/>
      <c r="E49" s="73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  <c r="IP49" s="179"/>
      <c r="IQ49" s="179"/>
    </row>
    <row r="50" spans="1:252">
      <c r="A50" s="181" t="s">
        <v>603</v>
      </c>
      <c r="B50" s="194">
        <v>17173.12</v>
      </c>
      <c r="C50" s="194">
        <f>C49*130*1.302</f>
        <v>15064.140000000001</v>
      </c>
      <c r="D50" s="181">
        <f>ROUND(E50/C33/12,2)</f>
        <v>6.44</v>
      </c>
      <c r="E50" s="73">
        <f t="shared" si="0"/>
        <v>17173.119599999998</v>
      </c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  <c r="GV50" s="179"/>
      <c r="GW50" s="179"/>
      <c r="GX50" s="179"/>
      <c r="GY50" s="179"/>
      <c r="GZ50" s="179"/>
      <c r="HA50" s="179"/>
      <c r="HB50" s="179"/>
      <c r="HC50" s="179"/>
      <c r="HD50" s="179"/>
      <c r="HE50" s="179"/>
      <c r="HF50" s="179"/>
      <c r="HG50" s="179"/>
      <c r="HH50" s="179"/>
      <c r="HI50" s="179"/>
      <c r="HJ50" s="179"/>
      <c r="HK50" s="179"/>
      <c r="HL50" s="179"/>
      <c r="HM50" s="179"/>
      <c r="HN50" s="179"/>
      <c r="HO50" s="179"/>
      <c r="HP50" s="179"/>
      <c r="HQ50" s="179"/>
      <c r="HR50" s="179"/>
      <c r="HS50" s="179"/>
      <c r="HT50" s="179"/>
      <c r="HU50" s="179"/>
      <c r="HV50" s="179"/>
      <c r="HW50" s="179"/>
      <c r="HX50" s="179"/>
      <c r="HY50" s="179"/>
      <c r="HZ50" s="179"/>
      <c r="IA50" s="179"/>
      <c r="IB50" s="179"/>
      <c r="IC50" s="179"/>
      <c r="ID50" s="179"/>
      <c r="IE50" s="179"/>
      <c r="IF50" s="179"/>
      <c r="IG50" s="179"/>
      <c r="IH50" s="179"/>
      <c r="II50" s="179"/>
      <c r="IJ50" s="179"/>
      <c r="IK50" s="179"/>
      <c r="IL50" s="179"/>
      <c r="IM50" s="179"/>
      <c r="IN50" s="179"/>
      <c r="IO50" s="179"/>
      <c r="IP50" s="179"/>
      <c r="IQ50" s="179"/>
    </row>
    <row r="51" spans="1:252">
      <c r="A51" s="181" t="s">
        <v>877</v>
      </c>
      <c r="B51" s="194">
        <v>371.07</v>
      </c>
      <c r="C51" s="194">
        <v>325.5</v>
      </c>
      <c r="D51" s="181"/>
      <c r="E51" s="73">
        <f t="shared" si="0"/>
        <v>371.07</v>
      </c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  <c r="GV51" s="179"/>
      <c r="GW51" s="179"/>
      <c r="GX51" s="179"/>
      <c r="GY51" s="179"/>
      <c r="GZ51" s="179"/>
      <c r="HA51" s="179"/>
      <c r="HB51" s="179"/>
      <c r="HC51" s="179"/>
      <c r="HD51" s="179"/>
      <c r="HE51" s="179"/>
      <c r="HF51" s="179"/>
      <c r="HG51" s="179"/>
      <c r="HH51" s="179"/>
      <c r="HI51" s="179"/>
      <c r="HJ51" s="179"/>
      <c r="HK51" s="179"/>
      <c r="HL51" s="179"/>
      <c r="HM51" s="179"/>
      <c r="HN51" s="179"/>
      <c r="HO51" s="179"/>
      <c r="HP51" s="179"/>
      <c r="HQ51" s="179"/>
      <c r="HR51" s="179"/>
      <c r="HS51" s="179"/>
      <c r="HT51" s="179"/>
      <c r="HU51" s="179"/>
      <c r="HV51" s="179"/>
      <c r="HW51" s="179"/>
      <c r="HX51" s="179"/>
      <c r="HY51" s="179"/>
      <c r="HZ51" s="179"/>
      <c r="IA51" s="179"/>
      <c r="IB51" s="179"/>
      <c r="IC51" s="179"/>
      <c r="ID51" s="179"/>
      <c r="IE51" s="179"/>
      <c r="IF51" s="179"/>
      <c r="IG51" s="179"/>
      <c r="IH51" s="179"/>
      <c r="II51" s="179"/>
      <c r="IJ51" s="179"/>
      <c r="IK51" s="179"/>
      <c r="IL51" s="179"/>
      <c r="IM51" s="179"/>
      <c r="IN51" s="179"/>
      <c r="IO51" s="179"/>
      <c r="IP51" s="179"/>
      <c r="IQ51" s="179"/>
    </row>
    <row r="52" spans="1:252">
      <c r="A52" s="181" t="s">
        <v>724</v>
      </c>
      <c r="B52" s="194">
        <v>2107.3200000000002</v>
      </c>
      <c r="C52" s="194">
        <v>1848.53</v>
      </c>
      <c r="D52" s="181">
        <f>ROUND(E52/C33/12,2)</f>
        <v>0.79</v>
      </c>
      <c r="E52" s="73">
        <f t="shared" si="0"/>
        <v>2107.3241999999996</v>
      </c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  <c r="GU52" s="179"/>
      <c r="GV52" s="179"/>
      <c r="GW52" s="179"/>
      <c r="GX52" s="179"/>
      <c r="GY52" s="179"/>
      <c r="GZ52" s="179"/>
      <c r="HA52" s="179"/>
      <c r="HB52" s="179"/>
      <c r="HC52" s="179"/>
      <c r="HD52" s="179"/>
      <c r="HE52" s="179"/>
      <c r="HF52" s="179"/>
      <c r="HG52" s="179"/>
      <c r="HH52" s="179"/>
      <c r="HI52" s="179"/>
      <c r="HJ52" s="179"/>
      <c r="HK52" s="179"/>
      <c r="HL52" s="179"/>
      <c r="HM52" s="179"/>
      <c r="HN52" s="179"/>
      <c r="HO52" s="179"/>
      <c r="HP52" s="179"/>
      <c r="HQ52" s="179"/>
      <c r="HR52" s="179"/>
      <c r="HS52" s="179"/>
      <c r="HT52" s="179"/>
      <c r="HU52" s="179"/>
      <c r="HV52" s="179"/>
      <c r="HW52" s="179"/>
      <c r="HX52" s="179"/>
      <c r="HY52" s="179"/>
      <c r="HZ52" s="179"/>
      <c r="IA52" s="179"/>
      <c r="IB52" s="179"/>
      <c r="IC52" s="179"/>
      <c r="ID52" s="179"/>
      <c r="IE52" s="179"/>
      <c r="IF52" s="179"/>
      <c r="IG52" s="179"/>
      <c r="IH52" s="179"/>
      <c r="II52" s="179"/>
      <c r="IJ52" s="179"/>
      <c r="IK52" s="179"/>
      <c r="IL52" s="179"/>
      <c r="IM52" s="179"/>
      <c r="IN52" s="179"/>
      <c r="IO52" s="179"/>
      <c r="IP52" s="179"/>
      <c r="IQ52" s="179"/>
    </row>
    <row r="53" spans="1:252">
      <c r="A53" s="181" t="s">
        <v>986</v>
      </c>
      <c r="B53" s="194">
        <f>B39-B41</f>
        <v>-9306.4499999999971</v>
      </c>
      <c r="C53" s="194">
        <f>C39-C41</f>
        <v>2986.4334020496754</v>
      </c>
      <c r="D53" s="181"/>
      <c r="E53" s="179">
        <v>85587.45</v>
      </c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  <c r="HW53" s="179"/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  <c r="IO53" s="179"/>
      <c r="IP53" s="179"/>
      <c r="IQ53" s="179"/>
    </row>
    <row r="54" spans="1:25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179"/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  <c r="IO54" s="179"/>
      <c r="IP54" s="179"/>
      <c r="IQ54" s="179"/>
    </row>
    <row r="55" spans="1:252">
      <c r="A55" s="265" t="s">
        <v>605</v>
      </c>
      <c r="B55" s="284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179"/>
      <c r="HX55" s="179"/>
      <c r="HY55" s="179"/>
      <c r="HZ55" s="179"/>
      <c r="IA55" s="179"/>
      <c r="IB55" s="179"/>
      <c r="IC55" s="179"/>
      <c r="ID55" s="179"/>
      <c r="IE55" s="179"/>
      <c r="IF55" s="179"/>
      <c r="IG55" s="179"/>
      <c r="IH55" s="179"/>
      <c r="II55" s="179"/>
      <c r="IJ55" s="179"/>
      <c r="IK55" s="179"/>
      <c r="IL55" s="179"/>
      <c r="IM55" s="179"/>
      <c r="IN55" s="179"/>
      <c r="IO55" s="179"/>
      <c r="IP55" s="179"/>
      <c r="IQ55" s="179"/>
    </row>
    <row r="57" spans="1:252" s="179" customFormat="1" ht="43.5" customHeight="1">
      <c r="A57" s="705" t="s">
        <v>1171</v>
      </c>
      <c r="B57" s="705"/>
      <c r="C57" s="705"/>
      <c r="D57" s="705"/>
      <c r="IR57"/>
    </row>
    <row r="58" spans="1:252" s="179" customFormat="1" ht="43.5" customHeight="1">
      <c r="A58" s="293" t="s">
        <v>654</v>
      </c>
      <c r="B58" s="295" t="s">
        <v>991</v>
      </c>
      <c r="C58" s="221" t="s">
        <v>1132</v>
      </c>
      <c r="D58" s="221" t="s">
        <v>1133</v>
      </c>
      <c r="E58" s="215"/>
      <c r="IR58"/>
    </row>
    <row r="59" spans="1:252">
      <c r="A59" s="291" t="s">
        <v>593</v>
      </c>
      <c r="B59" s="292">
        <v>222.1</v>
      </c>
      <c r="C59" s="292">
        <v>222.1</v>
      </c>
      <c r="D59" s="181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79"/>
      <c r="FK59" s="179"/>
      <c r="FL59" s="179"/>
      <c r="FM59" s="179"/>
      <c r="FN59" s="179"/>
      <c r="FO59" s="179"/>
      <c r="FP59" s="179"/>
      <c r="FQ59" s="179"/>
      <c r="FR59" s="179"/>
      <c r="FS59" s="179"/>
      <c r="FT59" s="179"/>
      <c r="FU59" s="179"/>
      <c r="FV59" s="179"/>
      <c r="FW59" s="179"/>
      <c r="FX59" s="179"/>
      <c r="FY59" s="179"/>
      <c r="FZ59" s="179"/>
      <c r="GA59" s="179"/>
      <c r="GB59" s="179"/>
      <c r="GC59" s="179"/>
      <c r="GD59" s="179"/>
      <c r="GE59" s="179"/>
      <c r="GF59" s="179"/>
      <c r="GG59" s="179"/>
      <c r="GH59" s="179"/>
      <c r="GI59" s="179"/>
      <c r="GJ59" s="179"/>
      <c r="GK59" s="179"/>
      <c r="GL59" s="179"/>
      <c r="GM59" s="179"/>
      <c r="GN59" s="179"/>
      <c r="GO59" s="179"/>
      <c r="GP59" s="179"/>
      <c r="GQ59" s="179"/>
      <c r="GR59" s="179"/>
      <c r="GS59" s="179"/>
      <c r="GT59" s="179"/>
      <c r="GU59" s="179"/>
      <c r="GV59" s="179"/>
      <c r="GW59" s="179"/>
      <c r="GX59" s="179"/>
      <c r="GY59" s="179"/>
      <c r="GZ59" s="179"/>
      <c r="HA59" s="179"/>
      <c r="HB59" s="179"/>
      <c r="HC59" s="179"/>
      <c r="HD59" s="179"/>
      <c r="HE59" s="179"/>
      <c r="HF59" s="179"/>
      <c r="HG59" s="179"/>
      <c r="HH59" s="179"/>
      <c r="HI59" s="179"/>
      <c r="HJ59" s="179"/>
      <c r="HK59" s="179"/>
      <c r="HL59" s="179"/>
      <c r="HM59" s="179"/>
      <c r="HN59" s="179"/>
      <c r="HO59" s="179"/>
      <c r="HP59" s="179"/>
      <c r="HQ59" s="179"/>
      <c r="HR59" s="179"/>
      <c r="HS59" s="179"/>
      <c r="HT59" s="179"/>
      <c r="HU59" s="179"/>
      <c r="HV59" s="179"/>
      <c r="HW59" s="179"/>
      <c r="HX59" s="179"/>
      <c r="HY59" s="179"/>
      <c r="HZ59" s="179"/>
      <c r="IA59" s="179"/>
      <c r="IB59" s="179"/>
      <c r="IC59" s="179"/>
      <c r="ID59" s="179"/>
      <c r="IE59" s="179"/>
      <c r="IF59" s="179"/>
      <c r="IG59" s="179"/>
      <c r="IH59" s="179"/>
      <c r="II59" s="179"/>
      <c r="IJ59" s="179"/>
      <c r="IK59" s="179"/>
      <c r="IL59" s="179"/>
      <c r="IM59" s="179"/>
      <c r="IN59" s="179"/>
      <c r="IO59" s="179"/>
      <c r="IP59" s="179"/>
      <c r="IQ59" s="179"/>
    </row>
    <row r="60" spans="1:252">
      <c r="A60" s="180" t="s">
        <v>594</v>
      </c>
      <c r="B60" s="196">
        <v>30.24</v>
      </c>
      <c r="C60" s="196">
        <v>30.24</v>
      </c>
      <c r="D60" s="181">
        <f>D69+D70+D71+D72+D73+D74+D76+D78</f>
        <v>31.18</v>
      </c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  <c r="FL60" s="179"/>
      <c r="FM60" s="179"/>
      <c r="FN60" s="179"/>
      <c r="FO60" s="179"/>
      <c r="FP60" s="179"/>
      <c r="FQ60" s="179"/>
      <c r="FR60" s="179"/>
      <c r="FS60" s="179"/>
      <c r="FT60" s="179"/>
      <c r="FU60" s="179"/>
      <c r="FV60" s="179"/>
      <c r="FW60" s="179"/>
      <c r="FX60" s="179"/>
      <c r="FY60" s="179"/>
      <c r="FZ60" s="179"/>
      <c r="GA60" s="179"/>
      <c r="GB60" s="179"/>
      <c r="GC60" s="179"/>
      <c r="GD60" s="179"/>
      <c r="GE60" s="179"/>
      <c r="GF60" s="179"/>
      <c r="GG60" s="179"/>
      <c r="GH60" s="179"/>
      <c r="GI60" s="179"/>
      <c r="GJ60" s="179"/>
      <c r="GK60" s="179"/>
      <c r="GL60" s="179"/>
      <c r="GM60" s="179"/>
      <c r="GN60" s="179"/>
      <c r="GO60" s="179"/>
      <c r="GP60" s="179"/>
      <c r="GQ60" s="179"/>
      <c r="GR60" s="179"/>
      <c r="GS60" s="179"/>
      <c r="GT60" s="179"/>
      <c r="GU60" s="179"/>
      <c r="GV60" s="179"/>
      <c r="GW60" s="179"/>
      <c r="GX60" s="179"/>
      <c r="GY60" s="179"/>
      <c r="GZ60" s="179"/>
      <c r="HA60" s="179"/>
      <c r="HB60" s="179"/>
      <c r="HC60" s="179"/>
      <c r="HD60" s="179"/>
      <c r="HE60" s="179"/>
      <c r="HF60" s="179"/>
      <c r="HG60" s="179"/>
      <c r="HH60" s="179"/>
      <c r="HI60" s="179"/>
      <c r="HJ60" s="179"/>
      <c r="HK60" s="179"/>
      <c r="HL60" s="179"/>
      <c r="HM60" s="179"/>
      <c r="HN60" s="179"/>
      <c r="HO60" s="179"/>
      <c r="HP60" s="179"/>
      <c r="HQ60" s="179"/>
      <c r="HR60" s="179"/>
      <c r="HS60" s="179"/>
      <c r="HT60" s="179"/>
      <c r="HU60" s="179"/>
      <c r="HV60" s="179"/>
      <c r="HW60" s="179"/>
      <c r="HX60" s="179"/>
      <c r="HY60" s="179"/>
      <c r="HZ60" s="179"/>
      <c r="IA60" s="179"/>
      <c r="IB60" s="179"/>
      <c r="IC60" s="179"/>
      <c r="ID60" s="179"/>
      <c r="IE60" s="179"/>
      <c r="IF60" s="179"/>
      <c r="IG60" s="179"/>
      <c r="IH60" s="179"/>
      <c r="II60" s="179"/>
      <c r="IJ60" s="179"/>
      <c r="IK60" s="179"/>
      <c r="IL60" s="179"/>
      <c r="IM60" s="179"/>
      <c r="IN60" s="179"/>
      <c r="IO60" s="179"/>
      <c r="IP60" s="179"/>
      <c r="IQ60" s="179"/>
    </row>
    <row r="61" spans="1:252">
      <c r="A61" s="181" t="s">
        <v>711</v>
      </c>
      <c r="B61" s="193">
        <v>1327.24</v>
      </c>
      <c r="C61" s="193">
        <v>1327.24</v>
      </c>
      <c r="D61" s="181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  <c r="FL61" s="179"/>
      <c r="FM61" s="179"/>
      <c r="FN61" s="179"/>
      <c r="FO61" s="179"/>
      <c r="FP61" s="179"/>
      <c r="FQ61" s="179"/>
      <c r="FR61" s="179"/>
      <c r="FS61" s="179"/>
      <c r="FT61" s="179"/>
      <c r="FU61" s="179"/>
      <c r="FV61" s="179"/>
      <c r="FW61" s="179"/>
      <c r="FX61" s="179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  <c r="GI61" s="179"/>
      <c r="GJ61" s="179"/>
      <c r="GK61" s="179"/>
      <c r="GL61" s="179"/>
      <c r="GM61" s="179"/>
      <c r="GN61" s="179"/>
      <c r="GO61" s="179"/>
      <c r="GP61" s="179"/>
      <c r="GQ61" s="179"/>
      <c r="GR61" s="179"/>
      <c r="GS61" s="179"/>
      <c r="GT61" s="179"/>
      <c r="GU61" s="179"/>
      <c r="GV61" s="179"/>
      <c r="GW61" s="179"/>
      <c r="GX61" s="179"/>
      <c r="GY61" s="179"/>
      <c r="GZ61" s="179"/>
      <c r="HA61" s="179"/>
      <c r="HB61" s="179"/>
      <c r="HC61" s="179"/>
      <c r="HD61" s="179"/>
      <c r="HE61" s="179"/>
      <c r="HF61" s="179"/>
      <c r="HG61" s="179"/>
      <c r="HH61" s="179"/>
      <c r="HI61" s="179"/>
      <c r="HJ61" s="179"/>
      <c r="HK61" s="179"/>
      <c r="HL61" s="179"/>
      <c r="HM61" s="179"/>
      <c r="HN61" s="179"/>
      <c r="HO61" s="179"/>
      <c r="HP61" s="179"/>
      <c r="HQ61" s="179"/>
      <c r="HR61" s="179"/>
      <c r="HS61" s="179"/>
      <c r="HT61" s="179"/>
      <c r="HU61" s="179"/>
      <c r="HV61" s="179"/>
      <c r="HW61" s="179"/>
      <c r="HX61" s="179"/>
      <c r="HY61" s="179"/>
      <c r="HZ61" s="179"/>
      <c r="IA61" s="179"/>
      <c r="IB61" s="179"/>
      <c r="IC61" s="179"/>
      <c r="ID61" s="179"/>
      <c r="IE61" s="179"/>
      <c r="IF61" s="179"/>
      <c r="IG61" s="179"/>
      <c r="IH61" s="179"/>
      <c r="II61" s="179"/>
      <c r="IJ61" s="179"/>
      <c r="IK61" s="179"/>
      <c r="IL61" s="179"/>
      <c r="IM61" s="179"/>
      <c r="IN61" s="179"/>
      <c r="IO61" s="179"/>
      <c r="IP61" s="179"/>
      <c r="IQ61" s="179"/>
    </row>
    <row r="62" spans="1:252">
      <c r="A62" s="181" t="s">
        <v>980</v>
      </c>
      <c r="B62" s="193">
        <f>B60*B59*12+325.5</f>
        <v>80921.147999999986</v>
      </c>
      <c r="C62" s="193">
        <f>C60*C59*12+325.5</f>
        <v>80921.147999999986</v>
      </c>
      <c r="D62" s="181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9"/>
      <c r="GL62" s="179"/>
      <c r="GM62" s="179"/>
      <c r="GN62" s="179"/>
      <c r="GO62" s="179"/>
      <c r="GP62" s="179"/>
      <c r="GQ62" s="179"/>
      <c r="GR62" s="179"/>
      <c r="GS62" s="179"/>
      <c r="GT62" s="179"/>
      <c r="GU62" s="179"/>
      <c r="GV62" s="179"/>
      <c r="GW62" s="179"/>
      <c r="GX62" s="179"/>
      <c r="GY62" s="179"/>
      <c r="GZ62" s="179"/>
      <c r="HA62" s="179"/>
      <c r="HB62" s="179"/>
      <c r="HC62" s="179"/>
      <c r="HD62" s="179"/>
      <c r="HE62" s="179"/>
      <c r="HF62" s="179"/>
      <c r="HG62" s="179"/>
      <c r="HH62" s="179"/>
      <c r="HI62" s="179"/>
      <c r="HJ62" s="179"/>
      <c r="HK62" s="179"/>
      <c r="HL62" s="179"/>
      <c r="HM62" s="179"/>
      <c r="HN62" s="179"/>
      <c r="HO62" s="179"/>
      <c r="HP62" s="179"/>
      <c r="HQ62" s="179"/>
      <c r="HR62" s="179"/>
      <c r="HS62" s="179"/>
      <c r="HT62" s="179"/>
      <c r="HU62" s="179"/>
      <c r="HV62" s="179"/>
      <c r="HW62" s="179"/>
      <c r="HX62" s="179"/>
      <c r="HY62" s="179"/>
      <c r="HZ62" s="179"/>
      <c r="IA62" s="179"/>
      <c r="IB62" s="179"/>
      <c r="IC62" s="179"/>
      <c r="ID62" s="179"/>
      <c r="IE62" s="179"/>
      <c r="IF62" s="179"/>
      <c r="IG62" s="179"/>
      <c r="IH62" s="179"/>
      <c r="II62" s="179"/>
      <c r="IJ62" s="179"/>
      <c r="IK62" s="179"/>
      <c r="IL62" s="179"/>
      <c r="IM62" s="179"/>
      <c r="IN62" s="179"/>
      <c r="IO62" s="179"/>
      <c r="IP62" s="179"/>
      <c r="IQ62" s="179"/>
    </row>
    <row r="63" spans="1:252">
      <c r="A63" s="181" t="s">
        <v>981</v>
      </c>
      <c r="B63" s="193">
        <v>76281</v>
      </c>
      <c r="C63" s="193">
        <v>76281</v>
      </c>
      <c r="D63" s="181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179"/>
      <c r="FP63" s="179"/>
      <c r="FQ63" s="179"/>
      <c r="FR63" s="179"/>
      <c r="FS63" s="179"/>
      <c r="FT63" s="179"/>
      <c r="FU63" s="179"/>
      <c r="FV63" s="179"/>
      <c r="FW63" s="179"/>
      <c r="FX63" s="179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  <c r="GI63" s="179"/>
      <c r="GJ63" s="179"/>
      <c r="GK63" s="179"/>
      <c r="GL63" s="179"/>
      <c r="GM63" s="179"/>
      <c r="GN63" s="179"/>
      <c r="GO63" s="179"/>
      <c r="GP63" s="179"/>
      <c r="GQ63" s="179"/>
      <c r="GR63" s="179"/>
      <c r="GS63" s="179"/>
      <c r="GT63" s="179"/>
      <c r="GU63" s="179"/>
      <c r="GV63" s="179"/>
      <c r="GW63" s="179"/>
      <c r="GX63" s="179"/>
      <c r="GY63" s="179"/>
      <c r="GZ63" s="179"/>
      <c r="HA63" s="179"/>
      <c r="HB63" s="179"/>
      <c r="HC63" s="179"/>
      <c r="HD63" s="179"/>
      <c r="HE63" s="179"/>
      <c r="HF63" s="179"/>
      <c r="HG63" s="179"/>
      <c r="HH63" s="179"/>
      <c r="HI63" s="179"/>
      <c r="HJ63" s="179"/>
      <c r="HK63" s="179"/>
      <c r="HL63" s="179"/>
      <c r="HM63" s="179"/>
      <c r="HN63" s="179"/>
      <c r="HO63" s="179"/>
      <c r="HP63" s="179"/>
      <c r="HQ63" s="179"/>
      <c r="HR63" s="179"/>
      <c r="HS63" s="179"/>
      <c r="HT63" s="179"/>
      <c r="HU63" s="179"/>
      <c r="HV63" s="179"/>
      <c r="HW63" s="179"/>
      <c r="HX63" s="179"/>
      <c r="HY63" s="179"/>
      <c r="HZ63" s="179"/>
      <c r="IA63" s="179"/>
      <c r="IB63" s="179"/>
      <c r="IC63" s="179"/>
      <c r="ID63" s="179"/>
      <c r="IE63" s="179"/>
      <c r="IF63" s="179"/>
      <c r="IG63" s="179"/>
      <c r="IH63" s="179"/>
      <c r="II63" s="179"/>
      <c r="IJ63" s="179"/>
      <c r="IK63" s="179"/>
      <c r="IL63" s="179"/>
      <c r="IM63" s="179"/>
      <c r="IN63" s="179"/>
      <c r="IO63" s="179"/>
      <c r="IP63" s="179"/>
      <c r="IQ63" s="179"/>
    </row>
    <row r="64" spans="1:252">
      <c r="A64" s="181" t="s">
        <v>979</v>
      </c>
      <c r="B64" s="193">
        <v>5967.39</v>
      </c>
      <c r="C64" s="193">
        <v>5967.39</v>
      </c>
      <c r="D64" s="181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  <c r="GI64" s="179"/>
      <c r="GJ64" s="179"/>
      <c r="GK64" s="179"/>
      <c r="GL64" s="179"/>
      <c r="GM64" s="179"/>
      <c r="GN64" s="179"/>
      <c r="GO64" s="179"/>
      <c r="GP64" s="179"/>
      <c r="GQ64" s="179"/>
      <c r="GR64" s="179"/>
      <c r="GS64" s="179"/>
      <c r="GT64" s="179"/>
      <c r="GU64" s="179"/>
      <c r="GV64" s="179"/>
      <c r="GW64" s="179"/>
      <c r="GX64" s="179"/>
      <c r="GY64" s="179"/>
      <c r="GZ64" s="179"/>
      <c r="HA64" s="179"/>
      <c r="HB64" s="179"/>
      <c r="HC64" s="179"/>
      <c r="HD64" s="179"/>
      <c r="HE64" s="179"/>
      <c r="HF64" s="179"/>
      <c r="HG64" s="179"/>
      <c r="HH64" s="179"/>
      <c r="HI64" s="179"/>
      <c r="HJ64" s="179"/>
      <c r="HK64" s="179"/>
      <c r="HL64" s="179"/>
      <c r="HM64" s="179"/>
      <c r="HN64" s="179"/>
      <c r="HO64" s="179"/>
      <c r="HP64" s="179"/>
      <c r="HQ64" s="179"/>
      <c r="HR64" s="179"/>
      <c r="HS64" s="179"/>
      <c r="HT64" s="179"/>
      <c r="HU64" s="179"/>
      <c r="HV64" s="179"/>
      <c r="HW64" s="179"/>
      <c r="HX64" s="179"/>
      <c r="HY64" s="179"/>
      <c r="HZ64" s="179"/>
      <c r="IA64" s="179"/>
      <c r="IB64" s="179"/>
      <c r="IC64" s="179"/>
      <c r="ID64" s="179"/>
      <c r="IE64" s="179"/>
      <c r="IF64" s="179"/>
      <c r="IG64" s="179"/>
      <c r="IH64" s="179"/>
      <c r="II64" s="179"/>
      <c r="IJ64" s="179"/>
      <c r="IK64" s="179"/>
      <c r="IL64" s="179"/>
      <c r="IM64" s="179"/>
      <c r="IN64" s="179"/>
      <c r="IO64" s="179"/>
      <c r="IP64" s="179"/>
      <c r="IQ64" s="179"/>
    </row>
    <row r="65" spans="1:251" ht="29.25" customHeight="1">
      <c r="A65" s="216" t="s">
        <v>983</v>
      </c>
      <c r="B65" s="196">
        <f>B63</f>
        <v>76281</v>
      </c>
      <c r="C65" s="196">
        <f>C63</f>
        <v>76281</v>
      </c>
      <c r="D65" s="181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9"/>
      <c r="GL65" s="179"/>
      <c r="GM65" s="179"/>
      <c r="GN65" s="179"/>
      <c r="GO65" s="179"/>
      <c r="GP65" s="179"/>
      <c r="GQ65" s="179"/>
      <c r="GR65" s="179"/>
      <c r="GS65" s="179"/>
      <c r="GT65" s="179"/>
      <c r="GU65" s="179"/>
      <c r="GV65" s="179"/>
      <c r="GW65" s="179"/>
      <c r="GX65" s="179"/>
      <c r="GY65" s="179"/>
      <c r="GZ65" s="179"/>
      <c r="HA65" s="179"/>
      <c r="HB65" s="179"/>
      <c r="HC65" s="179"/>
      <c r="HD65" s="179"/>
      <c r="HE65" s="179"/>
      <c r="HF65" s="179"/>
      <c r="HG65" s="179"/>
      <c r="HH65" s="179"/>
      <c r="HI65" s="179"/>
      <c r="HJ65" s="179"/>
      <c r="HK65" s="179"/>
      <c r="HL65" s="179"/>
      <c r="HM65" s="179"/>
      <c r="HN65" s="179"/>
      <c r="HO65" s="179"/>
      <c r="HP65" s="179"/>
      <c r="HQ65" s="179"/>
      <c r="HR65" s="179"/>
      <c r="HS65" s="179"/>
      <c r="HT65" s="179"/>
      <c r="HU65" s="179"/>
      <c r="HV65" s="179"/>
      <c r="HW65" s="179"/>
      <c r="HX65" s="179"/>
      <c r="HY65" s="179"/>
      <c r="HZ65" s="179"/>
      <c r="IA65" s="179"/>
      <c r="IB65" s="179"/>
      <c r="IC65" s="179"/>
      <c r="ID65" s="179"/>
      <c r="IE65" s="179"/>
      <c r="IF65" s="179"/>
      <c r="IG65" s="179"/>
      <c r="IH65" s="179"/>
      <c r="II65" s="179"/>
      <c r="IJ65" s="179"/>
      <c r="IK65" s="179"/>
      <c r="IL65" s="179"/>
      <c r="IM65" s="179"/>
      <c r="IN65" s="179"/>
      <c r="IO65" s="179"/>
      <c r="IP65" s="179"/>
      <c r="IQ65" s="179"/>
    </row>
    <row r="66" spans="1:251">
      <c r="A66" s="179"/>
      <c r="B66" s="213"/>
      <c r="C66" s="213"/>
      <c r="D66" s="181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9"/>
      <c r="GL66" s="179"/>
      <c r="GM66" s="179"/>
      <c r="GN66" s="179"/>
      <c r="GO66" s="179"/>
      <c r="GP66" s="179"/>
      <c r="GQ66" s="179"/>
      <c r="GR66" s="179"/>
      <c r="GS66" s="179"/>
      <c r="GT66" s="179"/>
      <c r="GU66" s="179"/>
      <c r="GV66" s="179"/>
      <c r="GW66" s="179"/>
      <c r="GX66" s="179"/>
      <c r="GY66" s="179"/>
      <c r="GZ66" s="179"/>
      <c r="HA66" s="179"/>
      <c r="HB66" s="179"/>
      <c r="HC66" s="179"/>
      <c r="HD66" s="179"/>
      <c r="HE66" s="179"/>
      <c r="HF66" s="179"/>
      <c r="HG66" s="179"/>
      <c r="HH66" s="179"/>
      <c r="HI66" s="179"/>
      <c r="HJ66" s="179"/>
      <c r="HK66" s="179"/>
      <c r="HL66" s="179"/>
      <c r="HM66" s="179"/>
      <c r="HN66" s="179"/>
      <c r="HO66" s="179"/>
      <c r="HP66" s="179"/>
      <c r="HQ66" s="179"/>
      <c r="HR66" s="179"/>
      <c r="HS66" s="179"/>
      <c r="HT66" s="179"/>
      <c r="HU66" s="179"/>
      <c r="HV66" s="179"/>
      <c r="HW66" s="179"/>
      <c r="HX66" s="179"/>
      <c r="HY66" s="179"/>
      <c r="HZ66" s="179"/>
      <c r="IA66" s="179"/>
      <c r="IB66" s="179"/>
      <c r="IC66" s="179"/>
      <c r="ID66" s="179"/>
      <c r="IE66" s="179"/>
      <c r="IF66" s="179"/>
      <c r="IG66" s="179"/>
      <c r="IH66" s="179"/>
      <c r="II66" s="179"/>
      <c r="IJ66" s="179"/>
      <c r="IK66" s="179"/>
      <c r="IL66" s="179"/>
      <c r="IM66" s="179"/>
      <c r="IN66" s="179"/>
      <c r="IO66" s="179"/>
      <c r="IP66" s="179"/>
      <c r="IQ66" s="179"/>
    </row>
    <row r="67" spans="1:251">
      <c r="A67" s="217" t="s">
        <v>984</v>
      </c>
      <c r="B67" s="198">
        <v>85587.45</v>
      </c>
      <c r="C67" s="198">
        <f>C69+C70+C71+C72+C73+C74+C76+C77+C78</f>
        <v>83509.450000000012</v>
      </c>
      <c r="D67" s="184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79"/>
      <c r="GD67" s="179"/>
      <c r="GE67" s="179"/>
      <c r="GF67" s="179"/>
      <c r="GG67" s="179"/>
      <c r="GH67" s="179"/>
      <c r="GI67" s="179"/>
      <c r="GJ67" s="179"/>
      <c r="GK67" s="179"/>
      <c r="GL67" s="179"/>
      <c r="GM67" s="179"/>
      <c r="GN67" s="179"/>
      <c r="GO67" s="179"/>
      <c r="GP67" s="179"/>
      <c r="GQ67" s="179"/>
      <c r="GR67" s="179"/>
      <c r="GS67" s="179"/>
      <c r="GT67" s="179"/>
      <c r="GU67" s="179"/>
      <c r="GV67" s="179"/>
      <c r="GW67" s="179"/>
      <c r="GX67" s="179"/>
      <c r="GY67" s="179"/>
      <c r="GZ67" s="179"/>
      <c r="HA67" s="179"/>
      <c r="HB67" s="179"/>
      <c r="HC67" s="179"/>
      <c r="HD67" s="179"/>
      <c r="HE67" s="179"/>
      <c r="HF67" s="179"/>
      <c r="HG67" s="179"/>
      <c r="HH67" s="179"/>
      <c r="HI67" s="179"/>
      <c r="HJ67" s="179"/>
      <c r="HK67" s="179"/>
      <c r="HL67" s="179"/>
      <c r="HM67" s="179"/>
      <c r="HN67" s="179"/>
      <c r="HO67" s="179"/>
      <c r="HP67" s="179"/>
      <c r="HQ67" s="179"/>
      <c r="HR67" s="179"/>
      <c r="HS67" s="179"/>
      <c r="HT67" s="179"/>
      <c r="HU67" s="179"/>
      <c r="HV67" s="179"/>
      <c r="HW67" s="179"/>
      <c r="HX67" s="179"/>
      <c r="HY67" s="179"/>
      <c r="HZ67" s="179"/>
      <c r="IA67" s="179"/>
      <c r="IB67" s="179"/>
      <c r="IC67" s="179"/>
      <c r="ID67" s="179"/>
      <c r="IE67" s="179"/>
      <c r="IF67" s="179"/>
      <c r="IG67" s="179"/>
      <c r="IH67" s="179"/>
      <c r="II67" s="179"/>
      <c r="IJ67" s="179"/>
      <c r="IK67" s="179"/>
      <c r="IL67" s="179"/>
      <c r="IM67" s="179"/>
      <c r="IN67" s="179"/>
      <c r="IO67" s="179"/>
      <c r="IP67" s="179"/>
      <c r="IQ67" s="179"/>
    </row>
    <row r="68" spans="1:251">
      <c r="A68" s="218" t="s">
        <v>599</v>
      </c>
      <c r="B68" s="193"/>
      <c r="C68" s="193"/>
      <c r="D68" s="181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79"/>
      <c r="FK68" s="179"/>
      <c r="FL68" s="179"/>
      <c r="FM68" s="179"/>
      <c r="FN68" s="179"/>
      <c r="FO68" s="179"/>
      <c r="FP68" s="179"/>
      <c r="FQ68" s="179"/>
      <c r="FR68" s="179"/>
      <c r="FS68" s="179"/>
      <c r="FT68" s="179"/>
      <c r="FU68" s="179"/>
      <c r="FV68" s="179"/>
      <c r="FW68" s="179"/>
      <c r="FX68" s="179"/>
      <c r="FY68" s="179"/>
      <c r="FZ68" s="179"/>
      <c r="GA68" s="179"/>
      <c r="GB68" s="179"/>
      <c r="GC68" s="179"/>
      <c r="GD68" s="179"/>
      <c r="GE68" s="179"/>
      <c r="GF68" s="179"/>
      <c r="GG68" s="179"/>
      <c r="GH68" s="179"/>
      <c r="GI68" s="179"/>
      <c r="GJ68" s="179"/>
      <c r="GK68" s="179"/>
      <c r="GL68" s="179"/>
      <c r="GM68" s="179"/>
      <c r="GN68" s="179"/>
      <c r="GO68" s="179"/>
      <c r="GP68" s="179"/>
      <c r="GQ68" s="179"/>
      <c r="GR68" s="179"/>
      <c r="GS68" s="179"/>
      <c r="GT68" s="179"/>
      <c r="GU68" s="179"/>
      <c r="GV68" s="179"/>
      <c r="GW68" s="179"/>
      <c r="GX68" s="179"/>
      <c r="GY68" s="179"/>
      <c r="GZ68" s="179"/>
      <c r="HA68" s="179"/>
      <c r="HB68" s="179"/>
      <c r="HC68" s="179"/>
      <c r="HD68" s="179"/>
      <c r="HE68" s="179"/>
      <c r="HF68" s="179"/>
      <c r="HG68" s="179"/>
      <c r="HH68" s="179"/>
      <c r="HI68" s="179"/>
      <c r="HJ68" s="179"/>
      <c r="HK68" s="179"/>
      <c r="HL68" s="179"/>
      <c r="HM68" s="179"/>
      <c r="HN68" s="179"/>
      <c r="HO68" s="179"/>
      <c r="HP68" s="179"/>
      <c r="HQ68" s="179"/>
      <c r="HR68" s="179"/>
      <c r="HS68" s="179"/>
      <c r="HT68" s="179"/>
      <c r="HU68" s="179"/>
      <c r="HV68" s="179"/>
      <c r="HW68" s="179"/>
      <c r="HX68" s="179"/>
      <c r="HY68" s="179"/>
      <c r="HZ68" s="179"/>
      <c r="IA68" s="179"/>
      <c r="IB68" s="179"/>
      <c r="IC68" s="179"/>
      <c r="ID68" s="179"/>
      <c r="IE68" s="179"/>
      <c r="IF68" s="179"/>
      <c r="IG68" s="179"/>
      <c r="IH68" s="179"/>
      <c r="II68" s="179"/>
      <c r="IJ68" s="179"/>
      <c r="IK68" s="179"/>
      <c r="IL68" s="179"/>
      <c r="IM68" s="179"/>
      <c r="IN68" s="179"/>
      <c r="IO68" s="179"/>
      <c r="IP68" s="179"/>
      <c r="IQ68" s="179"/>
    </row>
    <row r="69" spans="1:251">
      <c r="A69" s="218" t="s">
        <v>521</v>
      </c>
      <c r="B69" s="194">
        <v>7335.19</v>
      </c>
      <c r="C69" s="194">
        <v>7335.19</v>
      </c>
      <c r="D69" s="181">
        <v>2.75</v>
      </c>
      <c r="E69" s="192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9"/>
      <c r="FI69" s="179"/>
      <c r="FJ69" s="179"/>
      <c r="FK69" s="179"/>
      <c r="FL69" s="179"/>
      <c r="FM69" s="179"/>
      <c r="FN69" s="179"/>
      <c r="FO69" s="179"/>
      <c r="FP69" s="179"/>
      <c r="FQ69" s="179"/>
      <c r="FR69" s="179"/>
      <c r="FS69" s="179"/>
      <c r="FT69" s="179"/>
      <c r="FU69" s="179"/>
      <c r="FV69" s="179"/>
      <c r="FW69" s="179"/>
      <c r="FX69" s="179"/>
      <c r="FY69" s="179"/>
      <c r="FZ69" s="179"/>
      <c r="GA69" s="179"/>
      <c r="GB69" s="179"/>
      <c r="GC69" s="179"/>
      <c r="GD69" s="179"/>
      <c r="GE69" s="179"/>
      <c r="GF69" s="179"/>
      <c r="GG69" s="179"/>
      <c r="GH69" s="179"/>
      <c r="GI69" s="179"/>
      <c r="GJ69" s="179"/>
      <c r="GK69" s="179"/>
      <c r="GL69" s="179"/>
      <c r="GM69" s="179"/>
      <c r="GN69" s="179"/>
      <c r="GO69" s="179"/>
      <c r="GP69" s="179"/>
      <c r="GQ69" s="179"/>
      <c r="GR69" s="179"/>
      <c r="GS69" s="179"/>
      <c r="GT69" s="179"/>
      <c r="GU69" s="179"/>
      <c r="GV69" s="179"/>
      <c r="GW69" s="179"/>
      <c r="GX69" s="179"/>
      <c r="GY69" s="179"/>
      <c r="GZ69" s="179"/>
      <c r="HA69" s="179"/>
      <c r="HB69" s="179"/>
      <c r="HC69" s="179"/>
      <c r="HD69" s="179"/>
      <c r="HE69" s="179"/>
      <c r="HF69" s="179"/>
      <c r="HG69" s="179"/>
      <c r="HH69" s="179"/>
      <c r="HI69" s="179"/>
      <c r="HJ69" s="179"/>
      <c r="HK69" s="179"/>
      <c r="HL69" s="179"/>
      <c r="HM69" s="179"/>
      <c r="HN69" s="179"/>
      <c r="HO69" s="179"/>
      <c r="HP69" s="179"/>
      <c r="HQ69" s="179"/>
      <c r="HR69" s="179"/>
      <c r="HS69" s="179"/>
      <c r="HT69" s="179"/>
      <c r="HU69" s="179"/>
      <c r="HV69" s="179"/>
      <c r="HW69" s="179"/>
      <c r="HX69" s="179"/>
      <c r="HY69" s="179"/>
      <c r="HZ69" s="179"/>
      <c r="IA69" s="179"/>
      <c r="IB69" s="179"/>
      <c r="IC69" s="179"/>
      <c r="ID69" s="179"/>
      <c r="IE69" s="179"/>
      <c r="IF69" s="179"/>
      <c r="IG69" s="179"/>
      <c r="IH69" s="179"/>
      <c r="II69" s="179"/>
      <c r="IJ69" s="179"/>
      <c r="IK69" s="179"/>
      <c r="IL69" s="179"/>
      <c r="IM69" s="179"/>
      <c r="IN69" s="179"/>
      <c r="IO69" s="179"/>
      <c r="IP69" s="179"/>
      <c r="IQ69" s="179"/>
    </row>
    <row r="70" spans="1:251" s="73" customFormat="1" ht="15.75">
      <c r="A70" s="214" t="s">
        <v>591</v>
      </c>
      <c r="B70" s="176">
        <v>39565.980000000003</v>
      </c>
      <c r="C70" s="176">
        <f>39565.98+4078</f>
        <v>43643.98</v>
      </c>
      <c r="D70" s="72">
        <v>16.37</v>
      </c>
      <c r="E70" s="73">
        <f>C70/C59/12</f>
        <v>16.375499024463455</v>
      </c>
    </row>
    <row r="71" spans="1:251">
      <c r="A71" s="218" t="s">
        <v>520</v>
      </c>
      <c r="B71" s="194">
        <v>2704.11</v>
      </c>
      <c r="C71" s="194">
        <v>2704.11</v>
      </c>
      <c r="D71" s="181">
        <v>1.01</v>
      </c>
      <c r="E71" s="73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79"/>
      <c r="FK71" s="179"/>
      <c r="FL71" s="179"/>
      <c r="FM71" s="179"/>
      <c r="FN71" s="179"/>
      <c r="FO71" s="179"/>
      <c r="FP71" s="179"/>
      <c r="FQ71" s="179"/>
      <c r="FR71" s="179"/>
      <c r="FS71" s="179"/>
      <c r="FT71" s="179"/>
      <c r="FU71" s="179"/>
      <c r="FV71" s="179"/>
      <c r="FW71" s="179"/>
      <c r="FX71" s="179"/>
      <c r="FY71" s="179"/>
      <c r="FZ71" s="179"/>
      <c r="GA71" s="179"/>
      <c r="GB71" s="179"/>
      <c r="GC71" s="179"/>
      <c r="GD71" s="179"/>
      <c r="GE71" s="179"/>
      <c r="GF71" s="179"/>
      <c r="GG71" s="179"/>
      <c r="GH71" s="179"/>
      <c r="GI71" s="179"/>
      <c r="GJ71" s="179"/>
      <c r="GK71" s="179"/>
      <c r="GL71" s="179"/>
      <c r="GM71" s="179"/>
      <c r="GN71" s="179"/>
      <c r="GO71" s="179"/>
      <c r="GP71" s="179"/>
      <c r="GQ71" s="179"/>
      <c r="GR71" s="179"/>
      <c r="GS71" s="179"/>
      <c r="GT71" s="179"/>
      <c r="GU71" s="179"/>
      <c r="GV71" s="179"/>
      <c r="GW71" s="179"/>
      <c r="GX71" s="179"/>
      <c r="GY71" s="179"/>
      <c r="GZ71" s="179"/>
      <c r="HA71" s="179"/>
      <c r="HB71" s="179"/>
      <c r="HC71" s="179"/>
      <c r="HD71" s="179"/>
      <c r="HE71" s="179"/>
      <c r="HF71" s="179"/>
      <c r="HG71" s="179"/>
      <c r="HH71" s="179"/>
      <c r="HI71" s="179"/>
      <c r="HJ71" s="179"/>
      <c r="HK71" s="179"/>
      <c r="HL71" s="179"/>
      <c r="HM71" s="179"/>
      <c r="HN71" s="179"/>
      <c r="HO71" s="179"/>
      <c r="HP71" s="179"/>
      <c r="HQ71" s="179"/>
      <c r="HR71" s="179"/>
      <c r="HS71" s="179"/>
      <c r="HT71" s="179"/>
      <c r="HU71" s="179"/>
      <c r="HV71" s="179"/>
      <c r="HW71" s="179"/>
      <c r="HX71" s="179"/>
      <c r="HY71" s="179"/>
      <c r="HZ71" s="179"/>
      <c r="IA71" s="179"/>
      <c r="IB71" s="179"/>
      <c r="IC71" s="179"/>
      <c r="ID71" s="179"/>
      <c r="IE71" s="179"/>
      <c r="IF71" s="179"/>
      <c r="IG71" s="179"/>
      <c r="IH71" s="179"/>
      <c r="II71" s="179"/>
      <c r="IJ71" s="179"/>
      <c r="IK71" s="179"/>
      <c r="IL71" s="179"/>
      <c r="IM71" s="179"/>
      <c r="IN71" s="179"/>
      <c r="IO71" s="179"/>
      <c r="IP71" s="179"/>
      <c r="IQ71" s="179"/>
    </row>
    <row r="72" spans="1:251">
      <c r="A72" s="218" t="s">
        <v>987</v>
      </c>
      <c r="B72" s="194">
        <v>776.99</v>
      </c>
      <c r="C72" s="194">
        <v>776.99</v>
      </c>
      <c r="D72" s="181">
        <v>0.28999999999999998</v>
      </c>
      <c r="E72" s="73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79"/>
      <c r="FK72" s="179"/>
      <c r="FL72" s="179"/>
      <c r="FM72" s="179"/>
      <c r="FN72" s="179"/>
      <c r="FO72" s="179"/>
      <c r="FP72" s="179"/>
      <c r="FQ72" s="179"/>
      <c r="FR72" s="179"/>
      <c r="FS72" s="179"/>
      <c r="FT72" s="179"/>
      <c r="FU72" s="179"/>
      <c r="FV72" s="179"/>
      <c r="FW72" s="179"/>
      <c r="FX72" s="179"/>
      <c r="FY72" s="179"/>
      <c r="FZ72" s="179"/>
      <c r="GA72" s="179"/>
      <c r="GB72" s="179"/>
      <c r="GC72" s="179"/>
      <c r="GD72" s="179"/>
      <c r="GE72" s="179"/>
      <c r="GF72" s="179"/>
      <c r="GG72" s="179"/>
      <c r="GH72" s="179"/>
      <c r="GI72" s="179"/>
      <c r="GJ72" s="179"/>
      <c r="GK72" s="179"/>
      <c r="GL72" s="179"/>
      <c r="GM72" s="179"/>
      <c r="GN72" s="179"/>
      <c r="GO72" s="179"/>
      <c r="GP72" s="179"/>
      <c r="GQ72" s="179"/>
      <c r="GR72" s="179"/>
      <c r="GS72" s="179"/>
      <c r="GT72" s="179"/>
      <c r="GU72" s="179"/>
      <c r="GV72" s="179"/>
      <c r="GW72" s="179"/>
      <c r="GX72" s="179"/>
      <c r="GY72" s="179"/>
      <c r="GZ72" s="179"/>
      <c r="HA72" s="179"/>
      <c r="HB72" s="179"/>
      <c r="HC72" s="179"/>
      <c r="HD72" s="179"/>
      <c r="HE72" s="179"/>
      <c r="HF72" s="179"/>
      <c r="HG72" s="179"/>
      <c r="HH72" s="179"/>
      <c r="HI72" s="179"/>
      <c r="HJ72" s="179"/>
      <c r="HK72" s="179"/>
      <c r="HL72" s="179"/>
      <c r="HM72" s="179"/>
      <c r="HN72" s="179"/>
      <c r="HO72" s="179"/>
      <c r="HP72" s="179"/>
      <c r="HQ72" s="179"/>
      <c r="HR72" s="179"/>
      <c r="HS72" s="179"/>
      <c r="HT72" s="179"/>
      <c r="HU72" s="179"/>
      <c r="HV72" s="179"/>
      <c r="HW72" s="179"/>
      <c r="HX72" s="179"/>
      <c r="HY72" s="179"/>
      <c r="HZ72" s="179"/>
      <c r="IA72" s="179"/>
      <c r="IB72" s="179"/>
      <c r="IC72" s="179"/>
      <c r="ID72" s="179"/>
      <c r="IE72" s="179"/>
      <c r="IF72" s="179"/>
      <c r="IG72" s="179"/>
      <c r="IH72" s="179"/>
      <c r="II72" s="179"/>
      <c r="IJ72" s="179"/>
      <c r="IK72" s="179"/>
      <c r="IL72" s="179"/>
      <c r="IM72" s="179"/>
      <c r="IN72" s="179"/>
      <c r="IO72" s="179"/>
      <c r="IP72" s="179"/>
      <c r="IQ72" s="179"/>
    </row>
    <row r="73" spans="1:251">
      <c r="A73" s="181" t="s">
        <v>1170</v>
      </c>
      <c r="B73" s="194">
        <v>12312</v>
      </c>
      <c r="C73" s="194">
        <f>12312/2</f>
        <v>6156</v>
      </c>
      <c r="D73" s="181">
        <v>2.31</v>
      </c>
      <c r="E73" s="73">
        <f>C73/C59/12</f>
        <v>2.3097703737055384</v>
      </c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  <c r="FH73" s="179"/>
      <c r="FI73" s="179"/>
      <c r="FJ73" s="179"/>
      <c r="FK73" s="179"/>
      <c r="FL73" s="179"/>
      <c r="FM73" s="179"/>
      <c r="FN73" s="179"/>
      <c r="FO73" s="179"/>
      <c r="FP73" s="179"/>
      <c r="FQ73" s="179"/>
      <c r="FR73" s="179"/>
      <c r="FS73" s="179"/>
      <c r="FT73" s="179"/>
      <c r="FU73" s="179"/>
      <c r="FV73" s="179"/>
      <c r="FW73" s="179"/>
      <c r="FX73" s="179"/>
      <c r="FY73" s="179"/>
      <c r="FZ73" s="179"/>
      <c r="GA73" s="179"/>
      <c r="GB73" s="179"/>
      <c r="GC73" s="179"/>
      <c r="GD73" s="179"/>
      <c r="GE73" s="179"/>
      <c r="GF73" s="179"/>
      <c r="GG73" s="179"/>
      <c r="GH73" s="179"/>
      <c r="GI73" s="179"/>
      <c r="GJ73" s="179"/>
      <c r="GK73" s="179"/>
      <c r="GL73" s="179"/>
      <c r="GM73" s="179"/>
      <c r="GN73" s="179"/>
      <c r="GO73" s="179"/>
      <c r="GP73" s="179"/>
      <c r="GQ73" s="179"/>
      <c r="GR73" s="179"/>
      <c r="GS73" s="179"/>
      <c r="GT73" s="179"/>
      <c r="GU73" s="179"/>
      <c r="GV73" s="179"/>
      <c r="GW73" s="179"/>
      <c r="GX73" s="179"/>
      <c r="GY73" s="179"/>
      <c r="GZ73" s="179"/>
      <c r="HA73" s="179"/>
      <c r="HB73" s="179"/>
      <c r="HC73" s="179"/>
      <c r="HD73" s="179"/>
      <c r="HE73" s="179"/>
      <c r="HF73" s="179"/>
      <c r="HG73" s="179"/>
      <c r="HH73" s="179"/>
      <c r="HI73" s="179"/>
      <c r="HJ73" s="179"/>
      <c r="HK73" s="179"/>
      <c r="HL73" s="179"/>
      <c r="HM73" s="179"/>
      <c r="HN73" s="179"/>
      <c r="HO73" s="179"/>
      <c r="HP73" s="179"/>
      <c r="HQ73" s="179"/>
      <c r="HR73" s="179"/>
      <c r="HS73" s="179"/>
      <c r="HT73" s="179"/>
      <c r="HU73" s="179"/>
      <c r="HV73" s="179"/>
      <c r="HW73" s="179"/>
      <c r="HX73" s="179"/>
      <c r="HY73" s="179"/>
      <c r="HZ73" s="179"/>
      <c r="IA73" s="179"/>
      <c r="IB73" s="179"/>
      <c r="IC73" s="179"/>
      <c r="ID73" s="179"/>
      <c r="IE73" s="179"/>
      <c r="IF73" s="179"/>
      <c r="IG73" s="179"/>
      <c r="IH73" s="179"/>
      <c r="II73" s="179"/>
      <c r="IJ73" s="179"/>
      <c r="IK73" s="179"/>
      <c r="IL73" s="179"/>
      <c r="IM73" s="179"/>
      <c r="IN73" s="179"/>
      <c r="IO73" s="179"/>
      <c r="IP73" s="179"/>
      <c r="IQ73" s="179"/>
    </row>
    <row r="74" spans="1:251">
      <c r="A74" s="181" t="s">
        <v>611</v>
      </c>
      <c r="B74" s="194">
        <v>3241.67</v>
      </c>
      <c r="C74" s="194">
        <v>3241.67</v>
      </c>
      <c r="D74" s="181">
        <v>1.22</v>
      </c>
      <c r="E74" s="73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9"/>
      <c r="GL74" s="179"/>
      <c r="GM74" s="179"/>
      <c r="GN74" s="179"/>
      <c r="GO74" s="179"/>
      <c r="GP74" s="179"/>
      <c r="GQ74" s="179"/>
      <c r="GR74" s="179"/>
      <c r="GS74" s="179"/>
      <c r="GT74" s="179"/>
      <c r="GU74" s="179"/>
      <c r="GV74" s="179"/>
      <c r="GW74" s="179"/>
      <c r="GX74" s="179"/>
      <c r="GY74" s="179"/>
      <c r="GZ74" s="179"/>
      <c r="HA74" s="179"/>
      <c r="HB74" s="179"/>
      <c r="HC74" s="179"/>
      <c r="HD74" s="179"/>
      <c r="HE74" s="179"/>
      <c r="HF74" s="179"/>
      <c r="HG74" s="179"/>
      <c r="HH74" s="179"/>
      <c r="HI74" s="179"/>
      <c r="HJ74" s="179"/>
      <c r="HK74" s="179"/>
      <c r="HL74" s="179"/>
      <c r="HM74" s="179"/>
      <c r="HN74" s="179"/>
      <c r="HO74" s="179"/>
      <c r="HP74" s="179"/>
      <c r="HQ74" s="179"/>
      <c r="HR74" s="179"/>
      <c r="HS74" s="179"/>
      <c r="HT74" s="179"/>
      <c r="HU74" s="179"/>
      <c r="HV74" s="179"/>
      <c r="HW74" s="179"/>
      <c r="HX74" s="179"/>
      <c r="HY74" s="179"/>
      <c r="HZ74" s="179"/>
      <c r="IA74" s="179"/>
      <c r="IB74" s="179"/>
      <c r="IC74" s="179"/>
      <c r="ID74" s="179"/>
      <c r="IE74" s="179"/>
      <c r="IF74" s="179"/>
      <c r="IG74" s="179"/>
      <c r="IH74" s="179"/>
      <c r="II74" s="179"/>
      <c r="IJ74" s="179"/>
      <c r="IK74" s="179"/>
      <c r="IL74" s="179"/>
      <c r="IM74" s="179"/>
      <c r="IN74" s="179"/>
      <c r="IO74" s="179"/>
      <c r="IP74" s="179"/>
      <c r="IQ74" s="179"/>
    </row>
    <row r="75" spans="1:251">
      <c r="A75" s="181" t="s">
        <v>602</v>
      </c>
      <c r="B75" s="194">
        <v>89</v>
      </c>
      <c r="C75" s="194">
        <v>89</v>
      </c>
      <c r="D75" s="181"/>
      <c r="E75" s="73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79"/>
      <c r="FK75" s="179"/>
      <c r="FL75" s="179"/>
      <c r="FM75" s="179"/>
      <c r="FN75" s="179"/>
      <c r="FO75" s="179"/>
      <c r="FP75" s="179"/>
      <c r="FQ75" s="179"/>
      <c r="FR75" s="179"/>
      <c r="FS75" s="179"/>
      <c r="FT75" s="179"/>
      <c r="FU75" s="179"/>
      <c r="FV75" s="179"/>
      <c r="FW75" s="179"/>
      <c r="FX75" s="179"/>
      <c r="FY75" s="179"/>
      <c r="FZ75" s="179"/>
      <c r="GA75" s="179"/>
      <c r="GB75" s="179"/>
      <c r="GC75" s="179"/>
      <c r="GD75" s="179"/>
      <c r="GE75" s="179"/>
      <c r="GF75" s="179"/>
      <c r="GG75" s="179"/>
      <c r="GH75" s="179"/>
      <c r="GI75" s="179"/>
      <c r="GJ75" s="179"/>
      <c r="GK75" s="179"/>
      <c r="GL75" s="179"/>
      <c r="GM75" s="179"/>
      <c r="GN75" s="179"/>
      <c r="GO75" s="179"/>
      <c r="GP75" s="179"/>
      <c r="GQ75" s="179"/>
      <c r="GR75" s="179"/>
      <c r="GS75" s="179"/>
      <c r="GT75" s="179"/>
      <c r="GU75" s="179"/>
      <c r="GV75" s="179"/>
      <c r="GW75" s="179"/>
      <c r="GX75" s="179"/>
      <c r="GY75" s="179"/>
      <c r="GZ75" s="179"/>
      <c r="HA75" s="179"/>
      <c r="HB75" s="179"/>
      <c r="HC75" s="179"/>
      <c r="HD75" s="179"/>
      <c r="HE75" s="179"/>
      <c r="HF75" s="179"/>
      <c r="HG75" s="179"/>
      <c r="HH75" s="179"/>
      <c r="HI75" s="179"/>
      <c r="HJ75" s="179"/>
      <c r="HK75" s="179"/>
      <c r="HL75" s="179"/>
      <c r="HM75" s="179"/>
      <c r="HN75" s="179"/>
      <c r="HO75" s="179"/>
      <c r="HP75" s="179"/>
      <c r="HQ75" s="179"/>
      <c r="HR75" s="179"/>
      <c r="HS75" s="179"/>
      <c r="HT75" s="179"/>
      <c r="HU75" s="179"/>
      <c r="HV75" s="179"/>
      <c r="HW75" s="179"/>
      <c r="HX75" s="179"/>
      <c r="HY75" s="179"/>
      <c r="HZ75" s="179"/>
      <c r="IA75" s="179"/>
      <c r="IB75" s="179"/>
      <c r="IC75" s="179"/>
      <c r="ID75" s="179"/>
      <c r="IE75" s="179"/>
      <c r="IF75" s="179"/>
      <c r="IG75" s="179"/>
      <c r="IH75" s="179"/>
      <c r="II75" s="179"/>
      <c r="IJ75" s="179"/>
      <c r="IK75" s="179"/>
      <c r="IL75" s="179"/>
      <c r="IM75" s="179"/>
      <c r="IN75" s="179"/>
      <c r="IO75" s="179"/>
      <c r="IP75" s="179"/>
      <c r="IQ75" s="179"/>
    </row>
    <row r="76" spans="1:251">
      <c r="A76" s="181" t="s">
        <v>603</v>
      </c>
      <c r="B76" s="194">
        <v>17173.12</v>
      </c>
      <c r="C76" s="194">
        <v>17173.12</v>
      </c>
      <c r="D76" s="181">
        <v>6.44</v>
      </c>
      <c r="E76" s="73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  <c r="DP76" s="179"/>
      <c r="DQ76" s="179"/>
      <c r="DR76" s="179"/>
      <c r="DS76" s="179"/>
      <c r="DT76" s="179"/>
      <c r="DU76" s="179"/>
      <c r="DV76" s="179"/>
      <c r="DW76" s="179"/>
      <c r="DX76" s="179"/>
      <c r="DY76" s="179"/>
      <c r="DZ76" s="179"/>
      <c r="EA76" s="179"/>
      <c r="EB76" s="179"/>
      <c r="EC76" s="179"/>
      <c r="ED76" s="179"/>
      <c r="EE76" s="179"/>
      <c r="EF76" s="179"/>
      <c r="EG76" s="179"/>
      <c r="EH76" s="179"/>
      <c r="EI76" s="179"/>
      <c r="EJ76" s="179"/>
      <c r="EK76" s="179"/>
      <c r="EL76" s="179"/>
      <c r="EM76" s="179"/>
      <c r="EN76" s="179"/>
      <c r="EO76" s="179"/>
      <c r="EP76" s="179"/>
      <c r="EQ76" s="179"/>
      <c r="ER76" s="179"/>
      <c r="ES76" s="179"/>
      <c r="ET76" s="179"/>
      <c r="EU76" s="179"/>
      <c r="EV76" s="179"/>
      <c r="EW76" s="179"/>
      <c r="EX76" s="179"/>
      <c r="EY76" s="179"/>
      <c r="EZ76" s="179"/>
      <c r="FA76" s="179"/>
      <c r="FB76" s="179"/>
      <c r="FC76" s="179"/>
      <c r="FD76" s="179"/>
      <c r="FE76" s="179"/>
      <c r="FF76" s="179"/>
      <c r="FG76" s="179"/>
      <c r="FH76" s="179"/>
      <c r="FI76" s="179"/>
      <c r="FJ76" s="179"/>
      <c r="FK76" s="179"/>
      <c r="FL76" s="179"/>
      <c r="FM76" s="179"/>
      <c r="FN76" s="179"/>
      <c r="FO76" s="179"/>
      <c r="FP76" s="179"/>
      <c r="FQ76" s="179"/>
      <c r="FR76" s="179"/>
      <c r="FS76" s="179"/>
      <c r="FT76" s="179"/>
      <c r="FU76" s="179"/>
      <c r="FV76" s="179"/>
      <c r="FW76" s="179"/>
      <c r="FX76" s="179"/>
      <c r="FY76" s="179"/>
      <c r="FZ76" s="179"/>
      <c r="GA76" s="179"/>
      <c r="GB76" s="179"/>
      <c r="GC76" s="179"/>
      <c r="GD76" s="179"/>
      <c r="GE76" s="179"/>
      <c r="GF76" s="179"/>
      <c r="GG76" s="179"/>
      <c r="GH76" s="179"/>
      <c r="GI76" s="179"/>
      <c r="GJ76" s="179"/>
      <c r="GK76" s="179"/>
      <c r="GL76" s="179"/>
      <c r="GM76" s="179"/>
      <c r="GN76" s="179"/>
      <c r="GO76" s="179"/>
      <c r="GP76" s="179"/>
      <c r="GQ76" s="179"/>
      <c r="GR76" s="179"/>
      <c r="GS76" s="179"/>
      <c r="GT76" s="179"/>
      <c r="GU76" s="179"/>
      <c r="GV76" s="179"/>
      <c r="GW76" s="179"/>
      <c r="GX76" s="179"/>
      <c r="GY76" s="179"/>
      <c r="GZ76" s="179"/>
      <c r="HA76" s="179"/>
      <c r="HB76" s="179"/>
      <c r="HC76" s="179"/>
      <c r="HD76" s="179"/>
      <c r="HE76" s="179"/>
      <c r="HF76" s="179"/>
      <c r="HG76" s="179"/>
      <c r="HH76" s="179"/>
      <c r="HI76" s="179"/>
      <c r="HJ76" s="179"/>
      <c r="HK76" s="179"/>
      <c r="HL76" s="179"/>
      <c r="HM76" s="179"/>
      <c r="HN76" s="179"/>
      <c r="HO76" s="179"/>
      <c r="HP76" s="179"/>
      <c r="HQ76" s="179"/>
      <c r="HR76" s="179"/>
      <c r="HS76" s="179"/>
      <c r="HT76" s="179"/>
      <c r="HU76" s="179"/>
      <c r="HV76" s="179"/>
      <c r="HW76" s="179"/>
      <c r="HX76" s="179"/>
      <c r="HY76" s="179"/>
      <c r="HZ76" s="179"/>
      <c r="IA76" s="179"/>
      <c r="IB76" s="179"/>
      <c r="IC76" s="179"/>
      <c r="ID76" s="179"/>
      <c r="IE76" s="179"/>
      <c r="IF76" s="179"/>
      <c r="IG76" s="179"/>
      <c r="IH76" s="179"/>
      <c r="II76" s="179"/>
      <c r="IJ76" s="179"/>
      <c r="IK76" s="179"/>
      <c r="IL76" s="179"/>
      <c r="IM76" s="179"/>
      <c r="IN76" s="179"/>
      <c r="IO76" s="179"/>
      <c r="IP76" s="179"/>
      <c r="IQ76" s="179"/>
    </row>
    <row r="77" spans="1:251">
      <c r="A77" s="181" t="s">
        <v>877</v>
      </c>
      <c r="B77" s="194">
        <v>371.07</v>
      </c>
      <c r="C77" s="194">
        <v>371.07</v>
      </c>
      <c r="D77" s="181"/>
      <c r="E77" s="73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9"/>
      <c r="EF77" s="179"/>
      <c r="EG77" s="179"/>
      <c r="EH77" s="179"/>
      <c r="EI77" s="179"/>
      <c r="EJ77" s="179"/>
      <c r="EK77" s="179"/>
      <c r="EL77" s="179"/>
      <c r="EM77" s="179"/>
      <c r="EN77" s="179"/>
      <c r="EO77" s="179"/>
      <c r="EP77" s="179"/>
      <c r="EQ77" s="179"/>
      <c r="ER77" s="179"/>
      <c r="ES77" s="179"/>
      <c r="ET77" s="179"/>
      <c r="EU77" s="179"/>
      <c r="EV77" s="179"/>
      <c r="EW77" s="179"/>
      <c r="EX77" s="179"/>
      <c r="EY77" s="179"/>
      <c r="EZ77" s="179"/>
      <c r="FA77" s="179"/>
      <c r="FB77" s="179"/>
      <c r="FC77" s="179"/>
      <c r="FD77" s="179"/>
      <c r="FE77" s="179"/>
      <c r="FF77" s="179"/>
      <c r="FG77" s="179"/>
      <c r="FH77" s="179"/>
      <c r="FI77" s="179"/>
      <c r="FJ77" s="179"/>
      <c r="FK77" s="179"/>
      <c r="FL77" s="179"/>
      <c r="FM77" s="179"/>
      <c r="FN77" s="179"/>
      <c r="FO77" s="179"/>
      <c r="FP77" s="179"/>
      <c r="FQ77" s="179"/>
      <c r="FR77" s="179"/>
      <c r="FS77" s="179"/>
      <c r="FT77" s="179"/>
      <c r="FU77" s="179"/>
      <c r="FV77" s="179"/>
      <c r="FW77" s="179"/>
      <c r="FX77" s="179"/>
      <c r="FY77" s="179"/>
      <c r="FZ77" s="179"/>
      <c r="GA77" s="179"/>
      <c r="GB77" s="179"/>
      <c r="GC77" s="179"/>
      <c r="GD77" s="179"/>
      <c r="GE77" s="179"/>
      <c r="GF77" s="179"/>
      <c r="GG77" s="179"/>
      <c r="GH77" s="179"/>
      <c r="GI77" s="179"/>
      <c r="GJ77" s="179"/>
      <c r="GK77" s="179"/>
      <c r="GL77" s="179"/>
      <c r="GM77" s="179"/>
      <c r="GN77" s="179"/>
      <c r="GO77" s="179"/>
      <c r="GP77" s="179"/>
      <c r="GQ77" s="179"/>
      <c r="GR77" s="179"/>
      <c r="GS77" s="179"/>
      <c r="GT77" s="179"/>
      <c r="GU77" s="179"/>
      <c r="GV77" s="179"/>
      <c r="GW77" s="179"/>
      <c r="GX77" s="179"/>
      <c r="GY77" s="179"/>
      <c r="GZ77" s="179"/>
      <c r="HA77" s="179"/>
      <c r="HB77" s="179"/>
      <c r="HC77" s="179"/>
      <c r="HD77" s="179"/>
      <c r="HE77" s="179"/>
      <c r="HF77" s="179"/>
      <c r="HG77" s="179"/>
      <c r="HH77" s="179"/>
      <c r="HI77" s="179"/>
      <c r="HJ77" s="179"/>
      <c r="HK77" s="179"/>
      <c r="HL77" s="179"/>
      <c r="HM77" s="179"/>
      <c r="HN77" s="179"/>
      <c r="HO77" s="179"/>
      <c r="HP77" s="179"/>
      <c r="HQ77" s="179"/>
      <c r="HR77" s="179"/>
      <c r="HS77" s="179"/>
      <c r="HT77" s="179"/>
      <c r="HU77" s="179"/>
      <c r="HV77" s="179"/>
      <c r="HW77" s="179"/>
      <c r="HX77" s="179"/>
      <c r="HY77" s="179"/>
      <c r="HZ77" s="179"/>
      <c r="IA77" s="179"/>
      <c r="IB77" s="179"/>
      <c r="IC77" s="179"/>
      <c r="ID77" s="179"/>
      <c r="IE77" s="179"/>
      <c r="IF77" s="179"/>
      <c r="IG77" s="179"/>
      <c r="IH77" s="179"/>
      <c r="II77" s="179"/>
      <c r="IJ77" s="179"/>
      <c r="IK77" s="179"/>
      <c r="IL77" s="179"/>
      <c r="IM77" s="179"/>
      <c r="IN77" s="179"/>
      <c r="IO77" s="179"/>
      <c r="IP77" s="179"/>
      <c r="IQ77" s="179"/>
    </row>
    <row r="78" spans="1:251">
      <c r="A78" s="181" t="s">
        <v>724</v>
      </c>
      <c r="B78" s="194">
        <v>2107.3200000000002</v>
      </c>
      <c r="C78" s="194">
        <v>2107.3200000000002</v>
      </c>
      <c r="D78" s="181">
        <v>0.79</v>
      </c>
      <c r="E78" s="73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79"/>
      <c r="EM78" s="179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79"/>
      <c r="FB78" s="179"/>
      <c r="FC78" s="179"/>
      <c r="FD78" s="179"/>
      <c r="FE78" s="179"/>
      <c r="FF78" s="179"/>
      <c r="FG78" s="179"/>
      <c r="FH78" s="179"/>
      <c r="FI78" s="179"/>
      <c r="FJ78" s="179"/>
      <c r="FK78" s="179"/>
      <c r="FL78" s="179"/>
      <c r="FM78" s="179"/>
      <c r="FN78" s="179"/>
      <c r="FO78" s="179"/>
      <c r="FP78" s="179"/>
      <c r="FQ78" s="179"/>
      <c r="FR78" s="179"/>
      <c r="FS78" s="179"/>
      <c r="FT78" s="179"/>
      <c r="FU78" s="179"/>
      <c r="FV78" s="179"/>
      <c r="FW78" s="179"/>
      <c r="FX78" s="179"/>
      <c r="FY78" s="179"/>
      <c r="FZ78" s="179"/>
      <c r="GA78" s="179"/>
      <c r="GB78" s="179"/>
      <c r="GC78" s="179"/>
      <c r="GD78" s="179"/>
      <c r="GE78" s="179"/>
      <c r="GF78" s="179"/>
      <c r="GG78" s="179"/>
      <c r="GH78" s="179"/>
      <c r="GI78" s="179"/>
      <c r="GJ78" s="179"/>
      <c r="GK78" s="179"/>
      <c r="GL78" s="179"/>
      <c r="GM78" s="179"/>
      <c r="GN78" s="179"/>
      <c r="GO78" s="179"/>
      <c r="GP78" s="179"/>
      <c r="GQ78" s="179"/>
      <c r="GR78" s="179"/>
      <c r="GS78" s="179"/>
      <c r="GT78" s="179"/>
      <c r="GU78" s="179"/>
      <c r="GV78" s="179"/>
      <c r="GW78" s="179"/>
      <c r="GX78" s="179"/>
      <c r="GY78" s="179"/>
      <c r="GZ78" s="179"/>
      <c r="HA78" s="179"/>
      <c r="HB78" s="179"/>
      <c r="HC78" s="179"/>
      <c r="HD78" s="179"/>
      <c r="HE78" s="179"/>
      <c r="HF78" s="179"/>
      <c r="HG78" s="179"/>
      <c r="HH78" s="179"/>
      <c r="HI78" s="179"/>
      <c r="HJ78" s="179"/>
      <c r="HK78" s="179"/>
      <c r="HL78" s="179"/>
      <c r="HM78" s="179"/>
      <c r="HN78" s="179"/>
      <c r="HO78" s="179"/>
      <c r="HP78" s="179"/>
      <c r="HQ78" s="179"/>
      <c r="HR78" s="179"/>
      <c r="HS78" s="179"/>
      <c r="HT78" s="179"/>
      <c r="HU78" s="179"/>
      <c r="HV78" s="179"/>
      <c r="HW78" s="179"/>
      <c r="HX78" s="179"/>
      <c r="HY78" s="179"/>
      <c r="HZ78" s="179"/>
      <c r="IA78" s="179"/>
      <c r="IB78" s="179"/>
      <c r="IC78" s="179"/>
      <c r="ID78" s="179"/>
      <c r="IE78" s="179"/>
      <c r="IF78" s="179"/>
      <c r="IG78" s="179"/>
      <c r="IH78" s="179"/>
      <c r="II78" s="179"/>
      <c r="IJ78" s="179"/>
      <c r="IK78" s="179"/>
      <c r="IL78" s="179"/>
      <c r="IM78" s="179"/>
      <c r="IN78" s="179"/>
      <c r="IO78" s="179"/>
      <c r="IP78" s="179"/>
      <c r="IQ78" s="179"/>
    </row>
    <row r="79" spans="1:251">
      <c r="A79" s="181" t="s">
        <v>986</v>
      </c>
      <c r="B79" s="194">
        <f>B65-B67</f>
        <v>-9306.4499999999971</v>
      </c>
      <c r="C79" s="194">
        <f>C65-C67</f>
        <v>-7228.4500000000116</v>
      </c>
      <c r="D79" s="181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79"/>
      <c r="DX79" s="179"/>
      <c r="DY79" s="179"/>
      <c r="DZ79" s="179"/>
      <c r="EA79" s="179"/>
      <c r="EB79" s="179"/>
      <c r="EC79" s="179"/>
      <c r="ED79" s="179"/>
      <c r="EE79" s="179"/>
      <c r="EF79" s="179"/>
      <c r="EG79" s="179"/>
      <c r="EH79" s="179"/>
      <c r="EI79" s="179"/>
      <c r="EJ79" s="179"/>
      <c r="EK79" s="179"/>
      <c r="EL79" s="179"/>
      <c r="EM79" s="179"/>
      <c r="EN79" s="179"/>
      <c r="EO79" s="179"/>
      <c r="EP79" s="179"/>
      <c r="EQ79" s="179"/>
      <c r="ER79" s="179"/>
      <c r="ES79" s="179"/>
      <c r="ET79" s="179"/>
      <c r="EU79" s="179"/>
      <c r="EV79" s="179"/>
      <c r="EW79" s="179"/>
      <c r="EX79" s="179"/>
      <c r="EY79" s="179"/>
      <c r="EZ79" s="179"/>
      <c r="FA79" s="179"/>
      <c r="FB79" s="179"/>
      <c r="FC79" s="179"/>
      <c r="FD79" s="179"/>
      <c r="FE79" s="179"/>
      <c r="FF79" s="179"/>
      <c r="FG79" s="179"/>
      <c r="FH79" s="179"/>
      <c r="FI79" s="179"/>
      <c r="FJ79" s="179"/>
      <c r="FK79" s="179"/>
      <c r="FL79" s="179"/>
      <c r="FM79" s="179"/>
      <c r="FN79" s="179"/>
      <c r="FO79" s="179"/>
      <c r="FP79" s="179"/>
      <c r="FQ79" s="179"/>
      <c r="FR79" s="179"/>
      <c r="FS79" s="179"/>
      <c r="FT79" s="179"/>
      <c r="FU79" s="179"/>
      <c r="FV79" s="179"/>
      <c r="FW79" s="179"/>
      <c r="FX79" s="179"/>
      <c r="FY79" s="179"/>
      <c r="FZ79" s="179"/>
      <c r="GA79" s="179"/>
      <c r="GB79" s="179"/>
      <c r="GC79" s="179"/>
      <c r="GD79" s="179"/>
      <c r="GE79" s="179"/>
      <c r="GF79" s="179"/>
      <c r="GG79" s="179"/>
      <c r="GH79" s="179"/>
      <c r="GI79" s="179"/>
      <c r="GJ79" s="179"/>
      <c r="GK79" s="179"/>
      <c r="GL79" s="179"/>
      <c r="GM79" s="179"/>
      <c r="GN79" s="179"/>
      <c r="GO79" s="179"/>
      <c r="GP79" s="179"/>
      <c r="GQ79" s="179"/>
      <c r="GR79" s="179"/>
      <c r="GS79" s="179"/>
      <c r="GT79" s="179"/>
      <c r="GU79" s="179"/>
      <c r="GV79" s="179"/>
      <c r="GW79" s="179"/>
      <c r="GX79" s="179"/>
      <c r="GY79" s="179"/>
      <c r="GZ79" s="179"/>
      <c r="HA79" s="179"/>
      <c r="HB79" s="179"/>
      <c r="HC79" s="179"/>
      <c r="HD79" s="179"/>
      <c r="HE79" s="179"/>
      <c r="HF79" s="179"/>
      <c r="HG79" s="179"/>
      <c r="HH79" s="179"/>
      <c r="HI79" s="179"/>
      <c r="HJ79" s="179"/>
      <c r="HK79" s="179"/>
      <c r="HL79" s="179"/>
      <c r="HM79" s="179"/>
      <c r="HN79" s="179"/>
      <c r="HO79" s="179"/>
      <c r="HP79" s="179"/>
      <c r="HQ79" s="179"/>
      <c r="HR79" s="179"/>
      <c r="HS79" s="179"/>
      <c r="HT79" s="179"/>
      <c r="HU79" s="179"/>
      <c r="HV79" s="179"/>
      <c r="HW79" s="179"/>
      <c r="HX79" s="179"/>
      <c r="HY79" s="179"/>
      <c r="HZ79" s="179"/>
      <c r="IA79" s="179"/>
      <c r="IB79" s="179"/>
      <c r="IC79" s="179"/>
      <c r="ID79" s="179"/>
      <c r="IE79" s="179"/>
      <c r="IF79" s="179"/>
      <c r="IG79" s="179"/>
      <c r="IH79" s="179"/>
      <c r="II79" s="179"/>
      <c r="IJ79" s="179"/>
      <c r="IK79" s="179"/>
      <c r="IL79" s="179"/>
      <c r="IM79" s="179"/>
      <c r="IN79" s="179"/>
      <c r="IO79" s="179"/>
      <c r="IP79" s="179"/>
      <c r="IQ79" s="179"/>
    </row>
    <row r="80" spans="1:25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9"/>
      <c r="EF80" s="179"/>
      <c r="EG80" s="179"/>
      <c r="EH80" s="179"/>
      <c r="EI80" s="179"/>
      <c r="EJ80" s="179"/>
      <c r="EK80" s="179"/>
      <c r="EL80" s="179"/>
      <c r="EM80" s="179"/>
      <c r="EN80" s="179"/>
      <c r="EO80" s="179"/>
      <c r="EP80" s="179"/>
      <c r="EQ80" s="179"/>
      <c r="ER80" s="179"/>
      <c r="ES80" s="179"/>
      <c r="ET80" s="179"/>
      <c r="EU80" s="179"/>
      <c r="EV80" s="179"/>
      <c r="EW80" s="179"/>
      <c r="EX80" s="179"/>
      <c r="EY80" s="179"/>
      <c r="EZ80" s="179"/>
      <c r="FA80" s="179"/>
      <c r="FB80" s="179"/>
      <c r="FC80" s="179"/>
      <c r="FD80" s="179"/>
      <c r="FE80" s="179"/>
      <c r="FF80" s="179"/>
      <c r="FG80" s="179"/>
      <c r="FH80" s="179"/>
      <c r="FI80" s="179"/>
      <c r="FJ80" s="179"/>
      <c r="FK80" s="179"/>
      <c r="FL80" s="179"/>
      <c r="FM80" s="179"/>
      <c r="FN80" s="179"/>
      <c r="FO80" s="179"/>
      <c r="FP80" s="179"/>
      <c r="FQ80" s="179"/>
      <c r="FR80" s="179"/>
      <c r="FS80" s="179"/>
      <c r="FT80" s="179"/>
      <c r="FU80" s="179"/>
      <c r="FV80" s="179"/>
      <c r="FW80" s="179"/>
      <c r="FX80" s="179"/>
      <c r="FY80" s="179"/>
      <c r="FZ80" s="179"/>
      <c r="GA80" s="179"/>
      <c r="GB80" s="179"/>
      <c r="GC80" s="179"/>
      <c r="GD80" s="179"/>
      <c r="GE80" s="179"/>
      <c r="GF80" s="179"/>
      <c r="GG80" s="179"/>
      <c r="GH80" s="179"/>
      <c r="GI80" s="179"/>
      <c r="GJ80" s="179"/>
      <c r="GK80" s="179"/>
      <c r="GL80" s="179"/>
      <c r="GM80" s="179"/>
      <c r="GN80" s="179"/>
      <c r="GO80" s="179"/>
      <c r="GP80" s="179"/>
      <c r="GQ80" s="179"/>
      <c r="GR80" s="179"/>
      <c r="GS80" s="179"/>
      <c r="GT80" s="179"/>
      <c r="GU80" s="179"/>
      <c r="GV80" s="179"/>
      <c r="GW80" s="179"/>
      <c r="GX80" s="179"/>
      <c r="GY80" s="179"/>
      <c r="GZ80" s="179"/>
      <c r="HA80" s="179"/>
      <c r="HB80" s="179"/>
      <c r="HC80" s="179"/>
      <c r="HD80" s="179"/>
      <c r="HE80" s="179"/>
      <c r="HF80" s="179"/>
      <c r="HG80" s="179"/>
      <c r="HH80" s="179"/>
      <c r="HI80" s="179"/>
      <c r="HJ80" s="179"/>
      <c r="HK80" s="179"/>
      <c r="HL80" s="179"/>
      <c r="HM80" s="179"/>
      <c r="HN80" s="179"/>
      <c r="HO80" s="179"/>
      <c r="HP80" s="179"/>
      <c r="HQ80" s="179"/>
      <c r="HR80" s="179"/>
      <c r="HS80" s="179"/>
      <c r="HT80" s="179"/>
      <c r="HU80" s="179"/>
      <c r="HV80" s="179"/>
      <c r="HW80" s="179"/>
      <c r="HX80" s="179"/>
      <c r="HY80" s="179"/>
      <c r="HZ80" s="179"/>
      <c r="IA80" s="179"/>
      <c r="IB80" s="179"/>
      <c r="IC80" s="179"/>
      <c r="ID80" s="179"/>
      <c r="IE80" s="179"/>
      <c r="IF80" s="179"/>
      <c r="IG80" s="179"/>
      <c r="IH80" s="179"/>
      <c r="II80" s="179"/>
      <c r="IJ80" s="179"/>
      <c r="IK80" s="179"/>
      <c r="IL80" s="179"/>
      <c r="IM80" s="179"/>
      <c r="IN80" s="179"/>
      <c r="IO80" s="179"/>
      <c r="IP80" s="179"/>
      <c r="IQ80" s="179"/>
    </row>
    <row r="81" spans="1:251">
      <c r="A81" s="317" t="s">
        <v>605</v>
      </c>
      <c r="B81" s="317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  <c r="FF81" s="179"/>
      <c r="FG81" s="179"/>
      <c r="FH81" s="179"/>
      <c r="FI81" s="179"/>
      <c r="FJ81" s="179"/>
      <c r="FK81" s="179"/>
      <c r="FL81" s="179"/>
      <c r="FM81" s="179"/>
      <c r="FN81" s="179"/>
      <c r="FO81" s="179"/>
      <c r="FP81" s="179"/>
      <c r="FQ81" s="179"/>
      <c r="FR81" s="179"/>
      <c r="FS81" s="179"/>
      <c r="FT81" s="179"/>
      <c r="FU81" s="179"/>
      <c r="FV81" s="179"/>
      <c r="FW81" s="179"/>
      <c r="FX81" s="179"/>
      <c r="FY81" s="179"/>
      <c r="FZ81" s="179"/>
      <c r="GA81" s="179"/>
      <c r="GB81" s="179"/>
      <c r="GC81" s="179"/>
      <c r="GD81" s="179"/>
      <c r="GE81" s="179"/>
      <c r="GF81" s="179"/>
      <c r="GG81" s="179"/>
      <c r="GH81" s="179"/>
      <c r="GI81" s="179"/>
      <c r="GJ81" s="179"/>
      <c r="GK81" s="179"/>
      <c r="GL81" s="179"/>
      <c r="GM81" s="179"/>
      <c r="GN81" s="179"/>
      <c r="GO81" s="179"/>
      <c r="GP81" s="179"/>
      <c r="GQ81" s="179"/>
      <c r="GR81" s="179"/>
      <c r="GS81" s="179"/>
      <c r="GT81" s="179"/>
      <c r="GU81" s="179"/>
      <c r="GV81" s="179"/>
      <c r="GW81" s="179"/>
      <c r="GX81" s="179"/>
      <c r="GY81" s="179"/>
      <c r="GZ81" s="179"/>
      <c r="HA81" s="179"/>
      <c r="HB81" s="179"/>
      <c r="HC81" s="179"/>
      <c r="HD81" s="179"/>
      <c r="HE81" s="179"/>
      <c r="HF81" s="179"/>
      <c r="HG81" s="179"/>
      <c r="HH81" s="179"/>
      <c r="HI81" s="179"/>
      <c r="HJ81" s="179"/>
      <c r="HK81" s="179"/>
      <c r="HL81" s="179"/>
      <c r="HM81" s="179"/>
      <c r="HN81" s="179"/>
      <c r="HO81" s="179"/>
      <c r="HP81" s="179"/>
      <c r="HQ81" s="179"/>
      <c r="HR81" s="179"/>
      <c r="HS81" s="179"/>
      <c r="HT81" s="179"/>
      <c r="HU81" s="179"/>
      <c r="HV81" s="179"/>
      <c r="HW81" s="179"/>
      <c r="HX81" s="179"/>
      <c r="HY81" s="179"/>
      <c r="HZ81" s="179"/>
      <c r="IA81" s="179"/>
      <c r="IB81" s="179"/>
      <c r="IC81" s="179"/>
      <c r="ID81" s="179"/>
      <c r="IE81" s="179"/>
      <c r="IF81" s="179"/>
      <c r="IG81" s="179"/>
      <c r="IH81" s="179"/>
      <c r="II81" s="179"/>
      <c r="IJ81" s="179"/>
      <c r="IK81" s="179"/>
      <c r="IL81" s="179"/>
      <c r="IM81" s="179"/>
      <c r="IN81" s="179"/>
      <c r="IO81" s="179"/>
      <c r="IP81" s="179"/>
      <c r="IQ81" s="179"/>
    </row>
  </sheetData>
  <mergeCells count="4">
    <mergeCell ref="A1:D1"/>
    <mergeCell ref="A2:D2"/>
    <mergeCell ref="A3:D3"/>
    <mergeCell ref="A57:D57"/>
  </mergeCells>
  <pageMargins left="0.70866141732283472" right="0.70866141732283472" top="0.74803149606299213" bottom="0.74803149606299213" header="0.31496062992125984" footer="0.31496062992125984"/>
  <pageSetup paperSize="9" scale="32" orientation="landscape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34"/>
  <sheetViews>
    <sheetView topLeftCell="A109" workbookViewId="0">
      <selection activeCell="H83" sqref="H83"/>
    </sheetView>
  </sheetViews>
  <sheetFormatPr defaultRowHeight="15"/>
  <cols>
    <col min="1" max="1" width="85.85546875" customWidth="1"/>
    <col min="2" max="2" width="3.28515625" hidden="1" customWidth="1"/>
    <col min="3" max="3" width="36" customWidth="1"/>
  </cols>
  <sheetData>
    <row r="1" spans="1:4" ht="15.75">
      <c r="A1" s="701" t="s">
        <v>230</v>
      </c>
      <c r="B1" s="701"/>
      <c r="C1" s="701"/>
      <c r="D1" s="701"/>
    </row>
    <row r="2" spans="1:4" ht="15.75">
      <c r="A2" s="702" t="s">
        <v>239</v>
      </c>
      <c r="B2" s="702"/>
      <c r="C2" s="702"/>
      <c r="D2" s="702"/>
    </row>
    <row r="3" spans="1:4" s="55" customFormat="1" ht="15.75">
      <c r="A3" s="702" t="s">
        <v>430</v>
      </c>
      <c r="B3" s="702"/>
      <c r="C3" s="702"/>
      <c r="D3" s="702"/>
    </row>
    <row r="4" spans="1:4" s="55" customFormat="1" ht="15.75">
      <c r="A4" s="96"/>
      <c r="B4" s="96"/>
      <c r="C4" s="86"/>
      <c r="D4" s="86"/>
    </row>
    <row r="5" spans="1:4" ht="30">
      <c r="A5" s="712" t="s">
        <v>229</v>
      </c>
      <c r="B5" s="713"/>
      <c r="C5" s="83" t="s">
        <v>231</v>
      </c>
      <c r="D5" s="82" t="s">
        <v>300</v>
      </c>
    </row>
    <row r="6" spans="1:4">
      <c r="A6" s="712" t="s">
        <v>229</v>
      </c>
      <c r="B6" s="713"/>
      <c r="C6" s="73"/>
      <c r="D6" s="73"/>
    </row>
    <row r="7" spans="1:4" ht="15.75" thickBot="1">
      <c r="A7" s="706" t="s">
        <v>0</v>
      </c>
      <c r="B7" s="707"/>
      <c r="C7" s="75"/>
      <c r="D7" s="75"/>
    </row>
    <row r="8" spans="1:4">
      <c r="A8" s="720" t="s">
        <v>254</v>
      </c>
      <c r="B8" s="721"/>
      <c r="C8" s="76" t="s">
        <v>253</v>
      </c>
      <c r="D8" s="76">
        <v>1</v>
      </c>
    </row>
    <row r="9" spans="1:4">
      <c r="A9" s="720" t="s">
        <v>235</v>
      </c>
      <c r="B9" s="721"/>
      <c r="C9" s="76"/>
      <c r="D9" s="76"/>
    </row>
    <row r="10" spans="1:4" ht="15.75" thickBot="1">
      <c r="A10" s="763" t="s">
        <v>28</v>
      </c>
      <c r="B10" s="764"/>
      <c r="C10" s="76"/>
      <c r="D10" s="76"/>
    </row>
    <row r="11" spans="1:4" ht="15.75" thickBot="1">
      <c r="A11" s="718" t="s">
        <v>29</v>
      </c>
      <c r="B11" s="719"/>
      <c r="C11" s="76"/>
      <c r="D11" s="76"/>
    </row>
    <row r="12" spans="1:4">
      <c r="A12" s="710" t="s">
        <v>45</v>
      </c>
      <c r="B12" s="711"/>
      <c r="C12" s="76"/>
      <c r="D12" s="76"/>
    </row>
    <row r="13" spans="1:4" ht="15.75" thickBot="1">
      <c r="A13" s="761" t="s">
        <v>55</v>
      </c>
      <c r="B13" s="762"/>
      <c r="C13" s="76"/>
      <c r="D13" s="76"/>
    </row>
    <row r="14" spans="1:4" ht="15.75" thickBot="1">
      <c r="A14" s="716" t="s">
        <v>56</v>
      </c>
      <c r="B14" s="717"/>
      <c r="C14" s="76"/>
      <c r="D14" s="76"/>
    </row>
    <row r="15" spans="1:4" ht="15.75" thickBot="1">
      <c r="A15" s="718" t="s">
        <v>57</v>
      </c>
      <c r="B15" s="719"/>
      <c r="C15" s="76"/>
      <c r="D15" s="76"/>
    </row>
    <row r="16" spans="1:4" s="73" customFormat="1" ht="15.75" thickBot="1">
      <c r="A16" s="166" t="s">
        <v>413</v>
      </c>
      <c r="B16" s="167"/>
      <c r="C16" s="72" t="s">
        <v>267</v>
      </c>
      <c r="D16" s="72">
        <f>1*130+175</f>
        <v>305</v>
      </c>
    </row>
    <row r="17" spans="1:4" s="73" customFormat="1" ht="15.75" thickBot="1">
      <c r="A17" s="166" t="s">
        <v>431</v>
      </c>
      <c r="B17" s="167"/>
      <c r="C17" s="72" t="s">
        <v>260</v>
      </c>
      <c r="D17" s="72">
        <f>2.5*130+175</f>
        <v>500</v>
      </c>
    </row>
    <row r="18" spans="1:4" ht="29.25" customHeight="1">
      <c r="A18" s="747" t="s">
        <v>465</v>
      </c>
      <c r="B18" s="748"/>
      <c r="C18" s="94" t="s">
        <v>356</v>
      </c>
      <c r="D18" s="72">
        <f>8+8+8</f>
        <v>24</v>
      </c>
    </row>
    <row r="19" spans="1:4" s="73" customFormat="1" ht="27.75" customHeight="1">
      <c r="A19" s="97" t="s">
        <v>479</v>
      </c>
      <c r="B19" s="85"/>
      <c r="C19" s="94" t="s">
        <v>325</v>
      </c>
      <c r="D19" s="72">
        <v>2</v>
      </c>
    </row>
    <row r="20" spans="1:4" s="73" customFormat="1">
      <c r="A20" s="72" t="s">
        <v>414</v>
      </c>
      <c r="B20" s="72"/>
      <c r="C20" s="72" t="s">
        <v>253</v>
      </c>
      <c r="D20" s="72">
        <v>4</v>
      </c>
    </row>
    <row r="21" spans="1:4" s="108" customFormat="1" ht="15" customHeight="1">
      <c r="A21" s="765" t="s">
        <v>59</v>
      </c>
      <c r="B21" s="766"/>
      <c r="C21" s="98"/>
      <c r="D21" s="98"/>
    </row>
    <row r="22" spans="1:4" s="108" customFormat="1">
      <c r="A22" s="766" t="s">
        <v>60</v>
      </c>
      <c r="B22" s="767"/>
      <c r="C22" s="98"/>
      <c r="D22" s="98"/>
    </row>
    <row r="23" spans="1:4" s="108" customFormat="1">
      <c r="A23" s="766" t="s">
        <v>61</v>
      </c>
      <c r="B23" s="767"/>
      <c r="C23" s="98"/>
      <c r="D23" s="98"/>
    </row>
    <row r="24" spans="1:4" s="108" customFormat="1" ht="15" customHeight="1">
      <c r="A24" s="766" t="s">
        <v>62</v>
      </c>
      <c r="B24" s="767"/>
      <c r="C24" s="98"/>
      <c r="D24" s="98"/>
    </row>
    <row r="25" spans="1:4" s="108" customFormat="1" ht="15.75" customHeight="1" thickBot="1">
      <c r="A25" s="771" t="s">
        <v>63</v>
      </c>
      <c r="B25" s="772"/>
      <c r="C25" s="98"/>
      <c r="D25" s="98"/>
    </row>
    <row r="26" spans="1:4" s="108" customFormat="1" ht="15.75" thickBot="1">
      <c r="A26" s="773" t="s">
        <v>64</v>
      </c>
      <c r="B26" s="774"/>
      <c r="C26" s="98"/>
      <c r="D26" s="98"/>
    </row>
    <row r="27" spans="1:4" s="108" customFormat="1">
      <c r="A27" s="775" t="s">
        <v>66</v>
      </c>
      <c r="B27" s="776"/>
      <c r="C27" s="98"/>
      <c r="D27" s="98"/>
    </row>
    <row r="28" spans="1:4" s="108" customFormat="1">
      <c r="A28" s="109" t="s">
        <v>68</v>
      </c>
      <c r="B28" s="110"/>
      <c r="C28" s="98"/>
      <c r="D28" s="98"/>
    </row>
    <row r="29" spans="1:4" ht="15" customHeight="1">
      <c r="A29" s="84" t="s">
        <v>456</v>
      </c>
      <c r="B29" s="112"/>
      <c r="C29" s="127" t="s">
        <v>268</v>
      </c>
      <c r="D29" s="137">
        <f>4+4</f>
        <v>8</v>
      </c>
    </row>
    <row r="30" spans="1:4" ht="15" customHeight="1">
      <c r="A30" s="84" t="s">
        <v>457</v>
      </c>
      <c r="B30" s="112"/>
      <c r="C30" s="127" t="s">
        <v>268</v>
      </c>
      <c r="D30" s="137">
        <f>2.5+2.5</f>
        <v>5</v>
      </c>
    </row>
    <row r="31" spans="1:4" ht="15" customHeight="1">
      <c r="A31" s="84" t="s">
        <v>458</v>
      </c>
      <c r="B31" s="112"/>
      <c r="C31" s="127" t="s">
        <v>428</v>
      </c>
      <c r="D31" s="137">
        <f>4+4+4</f>
        <v>12</v>
      </c>
    </row>
    <row r="32" spans="1:4">
      <c r="A32" s="84" t="s">
        <v>276</v>
      </c>
      <c r="B32" s="112"/>
      <c r="C32" s="127" t="s">
        <v>275</v>
      </c>
      <c r="D32" s="137">
        <v>3</v>
      </c>
    </row>
    <row r="33" spans="1:4" ht="15" customHeight="1">
      <c r="A33" s="84" t="s">
        <v>466</v>
      </c>
      <c r="B33" s="85"/>
      <c r="C33" s="72" t="s">
        <v>253</v>
      </c>
      <c r="D33" s="72">
        <v>2</v>
      </c>
    </row>
    <row r="34" spans="1:4" ht="15" customHeight="1">
      <c r="A34" s="84" t="s">
        <v>467</v>
      </c>
      <c r="B34" s="85"/>
      <c r="C34" s="72" t="s">
        <v>256</v>
      </c>
      <c r="D34" s="72">
        <v>4</v>
      </c>
    </row>
    <row r="35" spans="1:4" ht="15" customHeight="1">
      <c r="A35" s="84" t="s">
        <v>468</v>
      </c>
      <c r="B35" s="85"/>
      <c r="C35" s="72" t="s">
        <v>256</v>
      </c>
      <c r="D35" s="72">
        <v>4</v>
      </c>
    </row>
    <row r="36" spans="1:4" s="73" customFormat="1" ht="48" customHeight="1">
      <c r="A36" s="97" t="s">
        <v>471</v>
      </c>
      <c r="B36" s="85"/>
      <c r="C36" s="72" t="s">
        <v>472</v>
      </c>
      <c r="D36" s="72">
        <v>12</v>
      </c>
    </row>
    <row r="37" spans="1:4" s="73" customFormat="1" ht="15" customHeight="1">
      <c r="A37" s="84" t="s">
        <v>473</v>
      </c>
      <c r="B37" s="85"/>
      <c r="C37" s="72" t="s">
        <v>267</v>
      </c>
      <c r="D37" s="72">
        <v>1.5</v>
      </c>
    </row>
    <row r="38" spans="1:4" s="73" customFormat="1" ht="15" customHeight="1">
      <c r="A38" s="84" t="s">
        <v>305</v>
      </c>
      <c r="B38" s="85"/>
      <c r="C38" s="72" t="s">
        <v>306</v>
      </c>
      <c r="D38" s="72">
        <v>3</v>
      </c>
    </row>
    <row r="39" spans="1:4" s="73" customFormat="1" ht="28.5">
      <c r="A39" s="97" t="s">
        <v>307</v>
      </c>
      <c r="B39" s="85"/>
      <c r="C39" s="94" t="s">
        <v>308</v>
      </c>
      <c r="D39" s="72">
        <f>16+8</f>
        <v>24</v>
      </c>
    </row>
    <row r="40" spans="1:4" s="73" customFormat="1" ht="20.25" customHeight="1">
      <c r="A40" s="97" t="s">
        <v>317</v>
      </c>
      <c r="B40" s="85"/>
      <c r="C40" s="72" t="s">
        <v>253</v>
      </c>
      <c r="D40" s="72">
        <v>2</v>
      </c>
    </row>
    <row r="41" spans="1:4" s="73" customFormat="1" ht="27.75" customHeight="1">
      <c r="A41" s="97" t="s">
        <v>480</v>
      </c>
      <c r="B41" s="85"/>
      <c r="C41" s="94" t="s">
        <v>325</v>
      </c>
      <c r="D41" s="72">
        <v>6</v>
      </c>
    </row>
    <row r="42" spans="1:4" s="73" customFormat="1" ht="14.25" customHeight="1">
      <c r="A42" s="84" t="s">
        <v>319</v>
      </c>
      <c r="B42" s="85"/>
      <c r="C42" s="72" t="s">
        <v>286</v>
      </c>
      <c r="D42" s="72">
        <v>6</v>
      </c>
    </row>
    <row r="43" spans="1:4" s="73" customFormat="1" ht="20.25" customHeight="1">
      <c r="A43" s="97" t="s">
        <v>483</v>
      </c>
      <c r="B43" s="85"/>
      <c r="C43" s="72" t="s">
        <v>294</v>
      </c>
      <c r="D43" s="72">
        <v>6</v>
      </c>
    </row>
    <row r="44" spans="1:4" s="73" customFormat="1" ht="20.25" customHeight="1">
      <c r="A44" s="97" t="s">
        <v>484</v>
      </c>
      <c r="B44" s="85"/>
      <c r="C44" s="94" t="s">
        <v>309</v>
      </c>
      <c r="D44" s="72">
        <v>2.5</v>
      </c>
    </row>
    <row r="45" spans="1:4" s="73" customFormat="1" ht="20.25" customHeight="1">
      <c r="A45" s="97" t="s">
        <v>485</v>
      </c>
      <c r="B45" s="85"/>
      <c r="C45" s="94" t="s">
        <v>486</v>
      </c>
      <c r="D45" s="72">
        <v>1</v>
      </c>
    </row>
    <row r="46" spans="1:4" s="73" customFormat="1" ht="14.25" customHeight="1">
      <c r="A46" s="84" t="s">
        <v>487</v>
      </c>
      <c r="B46" s="85"/>
      <c r="C46" s="72" t="s">
        <v>263</v>
      </c>
      <c r="D46" s="72">
        <v>4</v>
      </c>
    </row>
    <row r="47" spans="1:4" s="73" customFormat="1" ht="30" customHeight="1">
      <c r="A47" s="97" t="s">
        <v>493</v>
      </c>
      <c r="B47" s="85"/>
      <c r="C47" s="72" t="s">
        <v>494</v>
      </c>
      <c r="D47" s="72">
        <v>9</v>
      </c>
    </row>
    <row r="48" spans="1:4" s="73" customFormat="1" ht="42.75" customHeight="1">
      <c r="A48" s="97" t="s">
        <v>495</v>
      </c>
      <c r="B48" s="85"/>
      <c r="C48" s="94" t="s">
        <v>347</v>
      </c>
      <c r="D48" s="72">
        <v>9</v>
      </c>
    </row>
    <row r="49" spans="1:4" s="73" customFormat="1" ht="46.5" customHeight="1">
      <c r="A49" s="97" t="s">
        <v>496</v>
      </c>
      <c r="B49" s="85"/>
      <c r="C49" s="94" t="s">
        <v>264</v>
      </c>
      <c r="D49" s="72">
        <v>6</v>
      </c>
    </row>
    <row r="50" spans="1:4" s="73" customFormat="1" ht="42.75">
      <c r="A50" s="168" t="s">
        <v>497</v>
      </c>
      <c r="B50" s="88"/>
      <c r="C50" s="72" t="s">
        <v>264</v>
      </c>
      <c r="D50" s="72">
        <v>10</v>
      </c>
    </row>
    <row r="51" spans="1:4" s="108" customFormat="1" ht="20.25" customHeight="1">
      <c r="A51" s="111" t="s">
        <v>317</v>
      </c>
      <c r="B51" s="112"/>
      <c r="C51" s="98" t="s">
        <v>253</v>
      </c>
      <c r="D51" s="98">
        <v>2</v>
      </c>
    </row>
    <row r="52" spans="1:4" s="108" customFormat="1" ht="27.75" customHeight="1">
      <c r="A52" s="111" t="s">
        <v>323</v>
      </c>
      <c r="B52" s="112"/>
      <c r="C52" s="113" t="s">
        <v>325</v>
      </c>
      <c r="D52" s="98">
        <v>6</v>
      </c>
    </row>
    <row r="53" spans="1:4" s="108" customFormat="1" ht="14.25" customHeight="1">
      <c r="A53" s="114" t="s">
        <v>319</v>
      </c>
      <c r="B53" s="112"/>
      <c r="C53" s="98" t="s">
        <v>286</v>
      </c>
      <c r="D53" s="98">
        <v>6</v>
      </c>
    </row>
    <row r="54" spans="1:4" s="108" customFormat="1" ht="15" customHeight="1">
      <c r="A54" s="114" t="s">
        <v>305</v>
      </c>
      <c r="B54" s="112"/>
      <c r="C54" s="98" t="s">
        <v>306</v>
      </c>
      <c r="D54" s="98">
        <v>3</v>
      </c>
    </row>
    <row r="55" spans="1:4" s="108" customFormat="1" ht="28.5">
      <c r="A55" s="111" t="s">
        <v>307</v>
      </c>
      <c r="B55" s="112"/>
      <c r="C55" s="113" t="s">
        <v>308</v>
      </c>
      <c r="D55" s="98">
        <f>16+8</f>
        <v>24</v>
      </c>
    </row>
    <row r="56" spans="1:4" s="108" customFormat="1" ht="15" customHeight="1">
      <c r="A56" s="115" t="s">
        <v>332</v>
      </c>
      <c r="B56" s="116"/>
      <c r="C56" s="98"/>
      <c r="D56" s="98"/>
    </row>
    <row r="57" spans="1:4" s="108" customFormat="1" ht="15" customHeight="1">
      <c r="A57" s="117" t="s">
        <v>80</v>
      </c>
      <c r="B57" s="118"/>
      <c r="C57" s="98"/>
      <c r="D57" s="98"/>
    </row>
    <row r="58" spans="1:4" s="108" customFormat="1" ht="15" customHeight="1">
      <c r="A58" s="115" t="s">
        <v>82</v>
      </c>
      <c r="B58" s="116"/>
      <c r="C58" s="98"/>
      <c r="D58" s="98"/>
    </row>
    <row r="59" spans="1:4" s="108" customFormat="1">
      <c r="A59" s="115" t="s">
        <v>84</v>
      </c>
      <c r="B59" s="116"/>
      <c r="C59" s="98"/>
      <c r="D59" s="98"/>
    </row>
    <row r="60" spans="1:4" s="108" customFormat="1" ht="15" customHeight="1">
      <c r="A60" s="115" t="s">
        <v>86</v>
      </c>
      <c r="B60" s="116"/>
      <c r="C60" s="98"/>
      <c r="D60" s="98"/>
    </row>
    <row r="61" spans="1:4" s="108" customFormat="1" ht="15" customHeight="1">
      <c r="A61" s="119" t="s">
        <v>88</v>
      </c>
      <c r="B61" s="120"/>
      <c r="C61" s="98"/>
      <c r="D61" s="98"/>
    </row>
    <row r="62" spans="1:4" s="108" customFormat="1">
      <c r="A62" s="777" t="s">
        <v>90</v>
      </c>
      <c r="B62" s="778"/>
      <c r="C62" s="98"/>
      <c r="D62" s="98"/>
    </row>
    <row r="63" spans="1:4" s="73" customFormat="1" ht="30">
      <c r="A63" s="168" t="s">
        <v>432</v>
      </c>
      <c r="B63" s="165"/>
      <c r="C63" s="94" t="s">
        <v>433</v>
      </c>
      <c r="D63" s="72">
        <f>1.5*130*3+175</f>
        <v>760</v>
      </c>
    </row>
    <row r="64" spans="1:4" s="73" customFormat="1">
      <c r="A64" s="168" t="s">
        <v>434</v>
      </c>
      <c r="B64" s="165"/>
      <c r="C64" s="72" t="s">
        <v>352</v>
      </c>
      <c r="D64" s="72">
        <f>2*130*2+175</f>
        <v>695</v>
      </c>
    </row>
    <row r="65" spans="1:4" s="73" customFormat="1">
      <c r="A65" s="164" t="s">
        <v>435</v>
      </c>
      <c r="B65" s="164"/>
      <c r="C65" s="72" t="s">
        <v>324</v>
      </c>
      <c r="D65" s="72">
        <f>130*2+175</f>
        <v>435</v>
      </c>
    </row>
    <row r="66" spans="1:4" s="73" customFormat="1">
      <c r="A66" s="164" t="s">
        <v>436</v>
      </c>
      <c r="B66" s="164"/>
      <c r="C66" s="72" t="s">
        <v>253</v>
      </c>
      <c r="D66" s="72">
        <f>1.5*130+175</f>
        <v>370</v>
      </c>
    </row>
    <row r="67" spans="1:4" s="73" customFormat="1" ht="35.25" customHeight="1">
      <c r="A67" s="168" t="s">
        <v>443</v>
      </c>
      <c r="B67" s="88"/>
      <c r="C67" s="94" t="s">
        <v>444</v>
      </c>
      <c r="D67" s="72">
        <f>350+3*130*3</f>
        <v>1520</v>
      </c>
    </row>
    <row r="68" spans="1:4" s="73" customFormat="1" ht="30.75" customHeight="1">
      <c r="A68" s="168" t="s">
        <v>445</v>
      </c>
      <c r="B68" s="88"/>
      <c r="C68" s="94" t="s">
        <v>446</v>
      </c>
      <c r="D68" s="72">
        <f>350+130*3*8</f>
        <v>3470</v>
      </c>
    </row>
    <row r="69" spans="1:4" s="73" customFormat="1">
      <c r="A69" s="168" t="s">
        <v>447</v>
      </c>
      <c r="B69" s="88"/>
      <c r="C69" s="72" t="s">
        <v>261</v>
      </c>
      <c r="D69" s="72">
        <f>350+130*2*2</f>
        <v>870</v>
      </c>
    </row>
    <row r="70" spans="1:4" s="73" customFormat="1">
      <c r="A70" s="168" t="s">
        <v>448</v>
      </c>
      <c r="B70" s="88"/>
      <c r="C70" s="72" t="s">
        <v>261</v>
      </c>
      <c r="D70" s="72">
        <f>130*2*2+175</f>
        <v>695</v>
      </c>
    </row>
    <row r="71" spans="1:4" s="73" customFormat="1">
      <c r="A71" s="168" t="s">
        <v>449</v>
      </c>
      <c r="B71" s="88"/>
      <c r="C71" s="72" t="s">
        <v>261</v>
      </c>
      <c r="D71" s="72">
        <f>175+130*2*2</f>
        <v>695</v>
      </c>
    </row>
    <row r="72" spans="1:4" s="73" customFormat="1">
      <c r="A72" s="168" t="s">
        <v>450</v>
      </c>
      <c r="B72" s="88"/>
      <c r="C72" s="94" t="s">
        <v>342</v>
      </c>
      <c r="D72" s="72">
        <f>350+130*3*3</f>
        <v>1520</v>
      </c>
    </row>
    <row r="73" spans="1:4" ht="15" customHeight="1">
      <c r="A73" s="714" t="s">
        <v>459</v>
      </c>
      <c r="B73" s="715"/>
      <c r="C73" s="127" t="s">
        <v>253</v>
      </c>
      <c r="D73" s="137">
        <v>1</v>
      </c>
    </row>
    <row r="74" spans="1:4" s="73" customFormat="1" ht="16.5" customHeight="1">
      <c r="A74" s="87" t="s">
        <v>333</v>
      </c>
      <c r="B74" s="88"/>
      <c r="C74" s="94" t="s">
        <v>271</v>
      </c>
      <c r="D74" s="72">
        <f>4*3</f>
        <v>12</v>
      </c>
    </row>
    <row r="75" spans="1:4" s="73" customFormat="1" ht="15.75" customHeight="1">
      <c r="A75" s="715" t="s">
        <v>339</v>
      </c>
      <c r="B75" s="768"/>
      <c r="C75" s="130" t="s">
        <v>340</v>
      </c>
      <c r="D75" s="72">
        <v>9</v>
      </c>
    </row>
    <row r="76" spans="1:4" s="73" customFormat="1">
      <c r="A76" s="715" t="s">
        <v>349</v>
      </c>
      <c r="B76" s="768"/>
      <c r="C76" s="72" t="s">
        <v>270</v>
      </c>
      <c r="D76" s="72">
        <v>2</v>
      </c>
    </row>
    <row r="77" spans="1:4">
      <c r="A77" s="747" t="s">
        <v>312</v>
      </c>
      <c r="B77" s="748"/>
      <c r="C77" s="72" t="s">
        <v>253</v>
      </c>
      <c r="D77" s="72">
        <v>0.75</v>
      </c>
    </row>
    <row r="78" spans="1:4" s="73" customFormat="1" ht="30">
      <c r="A78" s="168" t="s">
        <v>481</v>
      </c>
      <c r="B78" s="88"/>
      <c r="C78" s="94" t="s">
        <v>482</v>
      </c>
      <c r="D78" s="72">
        <f>3.5+24</f>
        <v>27.5</v>
      </c>
    </row>
    <row r="79" spans="1:4" s="73" customFormat="1" ht="16.5" customHeight="1">
      <c r="A79" s="168" t="s">
        <v>333</v>
      </c>
      <c r="B79" s="88"/>
      <c r="C79" s="94" t="s">
        <v>271</v>
      </c>
      <c r="D79" s="72">
        <f>4*3</f>
        <v>12</v>
      </c>
    </row>
    <row r="80" spans="1:4" s="73" customFormat="1" ht="15.75" customHeight="1">
      <c r="A80" s="715" t="s">
        <v>339</v>
      </c>
      <c r="B80" s="768"/>
      <c r="C80" s="130" t="s">
        <v>340</v>
      </c>
      <c r="D80" s="72">
        <v>9</v>
      </c>
    </row>
    <row r="81" spans="1:4" s="73" customFormat="1">
      <c r="A81" s="715" t="s">
        <v>349</v>
      </c>
      <c r="B81" s="768"/>
      <c r="C81" s="72" t="s">
        <v>270</v>
      </c>
      <c r="D81" s="72">
        <v>2</v>
      </c>
    </row>
    <row r="82" spans="1:4" s="73" customFormat="1" ht="16.5" customHeight="1">
      <c r="A82" s="168" t="s">
        <v>488</v>
      </c>
      <c r="B82" s="88"/>
      <c r="C82" s="94" t="s">
        <v>316</v>
      </c>
      <c r="D82" s="72">
        <v>2</v>
      </c>
    </row>
    <row r="83" spans="1:4" s="73" customFormat="1" ht="15.75" customHeight="1">
      <c r="A83" s="715" t="s">
        <v>489</v>
      </c>
      <c r="B83" s="768"/>
      <c r="C83" s="130" t="s">
        <v>412</v>
      </c>
      <c r="D83" s="72">
        <v>6</v>
      </c>
    </row>
    <row r="84" spans="1:4" s="73" customFormat="1" ht="31.5" customHeight="1">
      <c r="A84" s="715" t="s">
        <v>490</v>
      </c>
      <c r="B84" s="768"/>
      <c r="C84" s="72" t="s">
        <v>316</v>
      </c>
      <c r="D84" s="72">
        <v>16</v>
      </c>
    </row>
    <row r="85" spans="1:4" s="73" customFormat="1" ht="15.75" customHeight="1">
      <c r="A85" s="769" t="s">
        <v>491</v>
      </c>
      <c r="B85" s="770"/>
      <c r="C85" s="72" t="s">
        <v>316</v>
      </c>
      <c r="D85" s="72">
        <v>4</v>
      </c>
    </row>
    <row r="86" spans="1:4" s="73" customFormat="1" ht="15.75" customHeight="1">
      <c r="A86" s="164" t="s">
        <v>492</v>
      </c>
      <c r="B86" s="101"/>
      <c r="C86" s="72" t="s">
        <v>368</v>
      </c>
      <c r="D86" s="72">
        <v>6</v>
      </c>
    </row>
    <row r="87" spans="1:4" s="73" customFormat="1">
      <c r="A87" s="84" t="s">
        <v>498</v>
      </c>
      <c r="B87" s="85"/>
      <c r="C87" s="72" t="s">
        <v>274</v>
      </c>
      <c r="D87" s="72">
        <v>1</v>
      </c>
    </row>
    <row r="88" spans="1:4" s="108" customFormat="1" ht="15.75" customHeight="1" thickBot="1">
      <c r="A88" s="779" t="s">
        <v>98</v>
      </c>
      <c r="B88" s="780"/>
      <c r="C88" s="98"/>
      <c r="D88" s="98"/>
    </row>
    <row r="89" spans="1:4" s="108" customFormat="1" ht="15.75" thickBot="1">
      <c r="A89" s="774" t="s">
        <v>99</v>
      </c>
      <c r="B89" s="781"/>
      <c r="C89" s="98"/>
      <c r="D89" s="98"/>
    </row>
    <row r="90" spans="1:4" s="108" customFormat="1" ht="15.75" thickBot="1">
      <c r="A90" s="782" t="s">
        <v>100</v>
      </c>
      <c r="B90" s="783"/>
      <c r="C90" s="98"/>
      <c r="D90" s="98"/>
    </row>
    <row r="91" spans="1:4" s="108" customFormat="1" ht="15.75" thickBot="1">
      <c r="A91" s="774" t="s">
        <v>101</v>
      </c>
      <c r="B91" s="781"/>
      <c r="C91" s="98"/>
      <c r="D91" s="98"/>
    </row>
    <row r="92" spans="1:4" s="108" customFormat="1" ht="15.75" thickBot="1">
      <c r="A92" s="784" t="s">
        <v>102</v>
      </c>
      <c r="B92" s="785"/>
      <c r="C92" s="98" t="s">
        <v>241</v>
      </c>
      <c r="D92" s="98"/>
    </row>
    <row r="93" spans="1:4" s="73" customFormat="1">
      <c r="A93" s="168" t="s">
        <v>437</v>
      </c>
      <c r="B93" s="88"/>
      <c r="C93" s="72" t="s">
        <v>241</v>
      </c>
      <c r="D93" s="72">
        <f>130*1.5+32+175</f>
        <v>402</v>
      </c>
    </row>
    <row r="94" spans="1:4" s="73" customFormat="1">
      <c r="A94" s="168" t="s">
        <v>438</v>
      </c>
      <c r="B94" s="88"/>
      <c r="C94" s="72" t="s">
        <v>241</v>
      </c>
      <c r="D94" s="72">
        <f>1.25*130+175</f>
        <v>337.5</v>
      </c>
    </row>
    <row r="95" spans="1:4" s="73" customFormat="1">
      <c r="A95" s="168" t="s">
        <v>439</v>
      </c>
      <c r="B95" s="88"/>
      <c r="C95" s="72" t="s">
        <v>241</v>
      </c>
      <c r="D95" s="72">
        <f>1.5*130+175</f>
        <v>370</v>
      </c>
    </row>
    <row r="96" spans="1:4" s="73" customFormat="1">
      <c r="A96" s="168" t="s">
        <v>440</v>
      </c>
      <c r="B96" s="88"/>
      <c r="C96" s="72" t="s">
        <v>241</v>
      </c>
      <c r="D96" s="72">
        <f>0.75*130+175</f>
        <v>272.5</v>
      </c>
    </row>
    <row r="97" spans="1:4" s="73" customFormat="1">
      <c r="A97" s="168" t="s">
        <v>441</v>
      </c>
      <c r="B97" s="88"/>
      <c r="C97" s="72" t="s">
        <v>442</v>
      </c>
      <c r="D97" s="72">
        <f>16+175+130</f>
        <v>321</v>
      </c>
    </row>
    <row r="98" spans="1:4" s="73" customFormat="1" ht="23.25" customHeight="1">
      <c r="A98" s="168" t="s">
        <v>451</v>
      </c>
      <c r="B98" s="88"/>
      <c r="C98" s="72" t="s">
        <v>241</v>
      </c>
      <c r="D98" s="72">
        <f>175+130</f>
        <v>305</v>
      </c>
    </row>
    <row r="99" spans="1:4" s="73" customFormat="1">
      <c r="A99" s="168" t="s">
        <v>452</v>
      </c>
      <c r="B99" s="88"/>
      <c r="C99" s="72" t="s">
        <v>241</v>
      </c>
      <c r="D99" s="72">
        <f>175+130*3</f>
        <v>565</v>
      </c>
    </row>
    <row r="100" spans="1:4" s="73" customFormat="1">
      <c r="A100" s="168" t="s">
        <v>453</v>
      </c>
      <c r="B100" s="88"/>
      <c r="C100" s="72" t="s">
        <v>241</v>
      </c>
      <c r="D100" s="72">
        <f>1.5*130+175</f>
        <v>370</v>
      </c>
    </row>
    <row r="101" spans="1:4" s="73" customFormat="1">
      <c r="A101" s="168" t="s">
        <v>454</v>
      </c>
      <c r="B101" s="88"/>
      <c r="C101" s="72" t="s">
        <v>241</v>
      </c>
      <c r="D101" s="72">
        <f>1.5*130+175</f>
        <v>370</v>
      </c>
    </row>
    <row r="102" spans="1:4" s="73" customFormat="1">
      <c r="A102" s="168" t="s">
        <v>455</v>
      </c>
      <c r="B102" s="88"/>
      <c r="C102" s="72" t="s">
        <v>241</v>
      </c>
      <c r="D102" s="72">
        <f>130*4+175</f>
        <v>695</v>
      </c>
    </row>
    <row r="103" spans="1:4">
      <c r="A103" s="168" t="s">
        <v>460</v>
      </c>
      <c r="B103" s="107"/>
      <c r="C103" s="137"/>
      <c r="D103" s="137">
        <v>1.5</v>
      </c>
    </row>
    <row r="104" spans="1:4">
      <c r="A104" s="168" t="s">
        <v>461</v>
      </c>
      <c r="B104" s="107"/>
      <c r="C104" s="137"/>
      <c r="D104" s="137">
        <v>1.5</v>
      </c>
    </row>
    <row r="105" spans="1:4">
      <c r="A105" s="168" t="s">
        <v>462</v>
      </c>
      <c r="B105" s="107"/>
      <c r="C105" s="137"/>
      <c r="D105" s="137">
        <v>2</v>
      </c>
    </row>
    <row r="106" spans="1:4">
      <c r="A106" s="168" t="s">
        <v>463</v>
      </c>
      <c r="B106" s="107"/>
      <c r="C106" s="137"/>
      <c r="D106" s="137">
        <v>1.25</v>
      </c>
    </row>
    <row r="107" spans="1:4">
      <c r="A107" s="168" t="s">
        <v>464</v>
      </c>
      <c r="B107" s="107"/>
      <c r="C107" s="137"/>
      <c r="D107" s="137">
        <v>1.5</v>
      </c>
    </row>
    <row r="108" spans="1:4" s="73" customFormat="1">
      <c r="A108" s="168" t="s">
        <v>469</v>
      </c>
      <c r="B108" s="88"/>
      <c r="C108" s="72" t="s">
        <v>241</v>
      </c>
      <c r="D108" s="72">
        <v>2</v>
      </c>
    </row>
    <row r="109" spans="1:4" s="73" customFormat="1">
      <c r="A109" s="168" t="s">
        <v>470</v>
      </c>
      <c r="B109" s="88"/>
      <c r="C109" s="72" t="s">
        <v>241</v>
      </c>
      <c r="D109" s="72">
        <v>1.5</v>
      </c>
    </row>
    <row r="110" spans="1:4" s="73" customFormat="1">
      <c r="A110" s="168" t="s">
        <v>474</v>
      </c>
      <c r="B110" s="88"/>
      <c r="C110" s="72" t="s">
        <v>241</v>
      </c>
      <c r="D110" s="72">
        <v>2</v>
      </c>
    </row>
    <row r="111" spans="1:4" s="73" customFormat="1">
      <c r="A111" s="168" t="s">
        <v>475</v>
      </c>
      <c r="B111" s="88"/>
      <c r="C111" s="72" t="s">
        <v>241</v>
      </c>
      <c r="D111" s="72">
        <v>5</v>
      </c>
    </row>
    <row r="112" spans="1:4" s="73" customFormat="1" ht="28.5">
      <c r="A112" s="168" t="s">
        <v>476</v>
      </c>
      <c r="B112" s="88"/>
      <c r="C112" s="72" t="s">
        <v>241</v>
      </c>
      <c r="D112" s="72">
        <v>2</v>
      </c>
    </row>
    <row r="113" spans="1:4" s="73" customFormat="1" ht="28.5">
      <c r="A113" s="168" t="s">
        <v>477</v>
      </c>
      <c r="B113" s="88"/>
      <c r="C113" s="72" t="s">
        <v>241</v>
      </c>
      <c r="D113" s="72">
        <v>1</v>
      </c>
    </row>
    <row r="114" spans="1:4" s="73" customFormat="1">
      <c r="A114" s="168" t="s">
        <v>478</v>
      </c>
      <c r="B114" s="88"/>
      <c r="C114" s="72" t="s">
        <v>241</v>
      </c>
      <c r="D114" s="72">
        <v>2</v>
      </c>
    </row>
    <row r="115" spans="1:4" s="73" customFormat="1" ht="28.5">
      <c r="A115" s="168" t="s">
        <v>293</v>
      </c>
      <c r="B115" s="88"/>
      <c r="C115" s="72" t="s">
        <v>241</v>
      </c>
      <c r="D115" s="72">
        <v>4</v>
      </c>
    </row>
    <row r="116" spans="1:4" s="73" customFormat="1">
      <c r="A116" s="168" t="s">
        <v>314</v>
      </c>
      <c r="B116" s="88"/>
      <c r="C116" s="72" t="s">
        <v>241</v>
      </c>
      <c r="D116" s="72">
        <v>1.5</v>
      </c>
    </row>
    <row r="117" spans="1:4" s="73" customFormat="1">
      <c r="A117" s="168" t="s">
        <v>315</v>
      </c>
      <c r="B117" s="88"/>
      <c r="C117" s="72" t="s">
        <v>241</v>
      </c>
      <c r="D117" s="72">
        <v>2</v>
      </c>
    </row>
    <row r="118" spans="1:4" s="73" customFormat="1">
      <c r="A118" s="168" t="s">
        <v>320</v>
      </c>
      <c r="B118" s="88"/>
      <c r="C118" s="72" t="s">
        <v>241</v>
      </c>
      <c r="D118" s="72">
        <v>2</v>
      </c>
    </row>
    <row r="119" spans="1:4" s="73" customFormat="1">
      <c r="A119" s="168" t="s">
        <v>327</v>
      </c>
      <c r="B119" s="88"/>
      <c r="C119" s="72" t="s">
        <v>241</v>
      </c>
      <c r="D119" s="72">
        <v>1</v>
      </c>
    </row>
    <row r="120" spans="1:4" s="73" customFormat="1" ht="19.5" customHeight="1">
      <c r="A120" s="168" t="s">
        <v>329</v>
      </c>
      <c r="B120" s="88"/>
      <c r="C120" s="72" t="s">
        <v>241</v>
      </c>
      <c r="D120" s="72">
        <v>2</v>
      </c>
    </row>
    <row r="121" spans="1:4" s="73" customFormat="1">
      <c r="A121" s="164" t="s">
        <v>429</v>
      </c>
      <c r="B121" s="164"/>
      <c r="C121" s="72" t="s">
        <v>241</v>
      </c>
      <c r="D121" s="72">
        <v>3</v>
      </c>
    </row>
    <row r="122" spans="1:4" s="108" customFormat="1">
      <c r="A122" s="106" t="s">
        <v>314</v>
      </c>
      <c r="B122" s="107"/>
      <c r="C122" s="98" t="s">
        <v>241</v>
      </c>
      <c r="D122" s="98">
        <v>1.5</v>
      </c>
    </row>
    <row r="123" spans="1:4" s="108" customFormat="1">
      <c r="A123" s="106" t="s">
        <v>315</v>
      </c>
      <c r="B123" s="107"/>
      <c r="C123" s="98" t="s">
        <v>241</v>
      </c>
      <c r="D123" s="98">
        <v>2</v>
      </c>
    </row>
    <row r="124" spans="1:4" s="108" customFormat="1">
      <c r="A124" s="106" t="s">
        <v>320</v>
      </c>
      <c r="B124" s="107"/>
      <c r="C124" s="98" t="s">
        <v>241</v>
      </c>
      <c r="D124" s="98">
        <v>2</v>
      </c>
    </row>
    <row r="125" spans="1:4" s="108" customFormat="1">
      <c r="A125" s="106" t="s">
        <v>327</v>
      </c>
      <c r="B125" s="107"/>
      <c r="C125" s="98" t="s">
        <v>241</v>
      </c>
      <c r="D125" s="98">
        <v>1</v>
      </c>
    </row>
    <row r="126" spans="1:4" s="108" customFormat="1" ht="19.5" customHeight="1">
      <c r="A126" s="106" t="s">
        <v>329</v>
      </c>
      <c r="B126" s="107"/>
      <c r="C126" s="98" t="s">
        <v>241</v>
      </c>
      <c r="D126" s="98">
        <v>2</v>
      </c>
    </row>
    <row r="127" spans="1:4" s="108" customFormat="1" ht="28.5">
      <c r="A127" s="106" t="s">
        <v>293</v>
      </c>
      <c r="B127" s="107"/>
      <c r="C127" s="98" t="s">
        <v>241</v>
      </c>
      <c r="D127" s="98">
        <v>4</v>
      </c>
    </row>
    <row r="128" spans="1:4" s="108" customFormat="1">
      <c r="A128" s="106"/>
      <c r="B128" s="107"/>
      <c r="C128" s="98"/>
      <c r="D128" s="98"/>
    </row>
    <row r="129" spans="1:4" s="108" customFormat="1" ht="15.75" thickBot="1">
      <c r="A129" s="786" t="s">
        <v>281</v>
      </c>
      <c r="B129" s="787"/>
      <c r="C129" s="98"/>
      <c r="D129" s="98"/>
    </row>
    <row r="130" spans="1:4" s="108" customFormat="1" ht="15.75" thickBot="1">
      <c r="A130" s="788" t="s">
        <v>104</v>
      </c>
      <c r="B130" s="789"/>
      <c r="C130" s="98"/>
      <c r="D130" s="98"/>
    </row>
    <row r="131" spans="1:4">
      <c r="A131" s="78"/>
      <c r="B131" s="78"/>
      <c r="C131" s="75"/>
      <c r="D131" s="75"/>
    </row>
    <row r="132" spans="1:4" ht="15.75">
      <c r="A132" s="727" t="s">
        <v>233</v>
      </c>
      <c r="B132" s="727"/>
      <c r="C132" s="727"/>
      <c r="D132" s="727"/>
    </row>
    <row r="133" spans="1:4">
      <c r="A133" s="75"/>
      <c r="B133" s="75"/>
      <c r="C133" s="75"/>
      <c r="D133" s="75"/>
    </row>
    <row r="134" spans="1:4" ht="15.75">
      <c r="A134" s="727" t="s">
        <v>234</v>
      </c>
      <c r="B134" s="727"/>
      <c r="C134" s="727"/>
      <c r="D134" s="727"/>
    </row>
  </sheetData>
  <mergeCells count="41">
    <mergeCell ref="A132:D132"/>
    <mergeCell ref="A73:B73"/>
    <mergeCell ref="A134:D134"/>
    <mergeCell ref="A75:B75"/>
    <mergeCell ref="A76:B76"/>
    <mergeCell ref="A88:B88"/>
    <mergeCell ref="A89:B89"/>
    <mergeCell ref="A90:B90"/>
    <mergeCell ref="A91:B91"/>
    <mergeCell ref="A92:B92"/>
    <mergeCell ref="A129:B129"/>
    <mergeCell ref="A130:B130"/>
    <mergeCell ref="A77:B77"/>
    <mergeCell ref="A80:B80"/>
    <mergeCell ref="A81:B81"/>
    <mergeCell ref="A83:B83"/>
    <mergeCell ref="A84:B84"/>
    <mergeCell ref="A85:B85"/>
    <mergeCell ref="A23:B23"/>
    <mergeCell ref="A24:B24"/>
    <mergeCell ref="A25:B25"/>
    <mergeCell ref="A26:B26"/>
    <mergeCell ref="A27:B27"/>
    <mergeCell ref="A62:B62"/>
    <mergeCell ref="A14:B14"/>
    <mergeCell ref="A15:B15"/>
    <mergeCell ref="A21:B21"/>
    <mergeCell ref="A22:B22"/>
    <mergeCell ref="A18:B18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78"/>
  <sheetViews>
    <sheetView topLeftCell="A40" workbookViewId="0">
      <selection activeCell="C89" sqref="C89"/>
    </sheetView>
  </sheetViews>
  <sheetFormatPr defaultRowHeight="15"/>
  <cols>
    <col min="1" max="1" width="84.28515625" customWidth="1"/>
    <col min="2" max="2" width="3.28515625" hidden="1" customWidth="1"/>
    <col min="3" max="3" width="25" customWidth="1"/>
  </cols>
  <sheetData>
    <row r="1" spans="1:4" ht="15.75">
      <c r="A1" s="701" t="s">
        <v>230</v>
      </c>
      <c r="B1" s="701"/>
      <c r="C1" s="701"/>
      <c r="D1" s="701"/>
    </row>
    <row r="2" spans="1:4" ht="15.75">
      <c r="A2" s="702" t="s">
        <v>240</v>
      </c>
      <c r="B2" s="702"/>
      <c r="C2" s="702"/>
      <c r="D2" s="702"/>
    </row>
    <row r="3" spans="1:4" s="55" customFormat="1" ht="15.75">
      <c r="A3" s="702" t="s">
        <v>313</v>
      </c>
      <c r="B3" s="702"/>
      <c r="C3" s="702"/>
      <c r="D3" s="702"/>
    </row>
    <row r="4" spans="1:4" s="55" customFormat="1" ht="15.75">
      <c r="A4" s="96"/>
      <c r="B4" s="96"/>
      <c r="C4" s="86"/>
      <c r="D4" s="86"/>
    </row>
    <row r="5" spans="1:4" ht="30">
      <c r="A5" s="712" t="s">
        <v>229</v>
      </c>
      <c r="B5" s="713"/>
      <c r="C5" s="83" t="s">
        <v>231</v>
      </c>
      <c r="D5" s="82" t="s">
        <v>300</v>
      </c>
    </row>
    <row r="6" spans="1:4">
      <c r="A6" s="712" t="s">
        <v>229</v>
      </c>
      <c r="B6" s="713"/>
      <c r="C6" s="73"/>
      <c r="D6" s="73"/>
    </row>
    <row r="7" spans="1:4" ht="15.75" thickBot="1">
      <c r="A7" s="706" t="s">
        <v>0</v>
      </c>
      <c r="B7" s="707"/>
      <c r="C7" s="75"/>
      <c r="D7" s="75"/>
    </row>
    <row r="8" spans="1:4">
      <c r="A8" s="720" t="s">
        <v>24</v>
      </c>
      <c r="B8" s="721"/>
      <c r="C8" s="76"/>
      <c r="D8" s="76"/>
    </row>
    <row r="9" spans="1:4">
      <c r="A9" s="720" t="s">
        <v>235</v>
      </c>
      <c r="B9" s="721"/>
      <c r="C9" s="76"/>
      <c r="D9" s="76"/>
    </row>
    <row r="10" spans="1:4" ht="15.75" thickBot="1">
      <c r="A10" s="763" t="s">
        <v>28</v>
      </c>
      <c r="B10" s="764"/>
      <c r="C10" s="76"/>
      <c r="D10" s="76"/>
    </row>
    <row r="11" spans="1:4" ht="15.75" thickBot="1">
      <c r="A11" s="718" t="s">
        <v>29</v>
      </c>
      <c r="B11" s="719"/>
      <c r="C11" s="76"/>
      <c r="D11" s="76"/>
    </row>
    <row r="12" spans="1:4">
      <c r="A12" s="710" t="s">
        <v>45</v>
      </c>
      <c r="B12" s="711"/>
      <c r="C12" s="76"/>
      <c r="D12" s="76"/>
    </row>
    <row r="13" spans="1:4" ht="15.75" thickBot="1">
      <c r="A13" s="761" t="s">
        <v>55</v>
      </c>
      <c r="B13" s="762"/>
      <c r="C13" s="76"/>
      <c r="D13" s="76"/>
    </row>
    <row r="14" spans="1:4" ht="15.75" thickBot="1">
      <c r="A14" s="716" t="s">
        <v>56</v>
      </c>
      <c r="B14" s="717"/>
      <c r="C14" s="76"/>
      <c r="D14" s="76"/>
    </row>
    <row r="15" spans="1:4" ht="15.75" thickBot="1">
      <c r="A15" s="718" t="s">
        <v>57</v>
      </c>
      <c r="B15" s="719"/>
      <c r="C15" s="76"/>
      <c r="D15" s="76"/>
    </row>
    <row r="16" spans="1:4" s="73" customFormat="1" ht="15.75" thickBot="1">
      <c r="A16" s="166" t="s">
        <v>413</v>
      </c>
      <c r="B16" s="167"/>
      <c r="C16" s="72" t="s">
        <v>267</v>
      </c>
      <c r="D16" s="72">
        <f>1*130+175</f>
        <v>305</v>
      </c>
    </row>
    <row r="17" spans="1:8">
      <c r="A17" s="747" t="s">
        <v>312</v>
      </c>
      <c r="B17" s="748"/>
      <c r="C17" s="72" t="s">
        <v>253</v>
      </c>
      <c r="D17" s="72">
        <v>0.75</v>
      </c>
    </row>
    <row r="18" spans="1:8" s="73" customFormat="1">
      <c r="A18" s="747" t="s">
        <v>513</v>
      </c>
      <c r="B18" s="748"/>
      <c r="C18" s="72" t="s">
        <v>514</v>
      </c>
      <c r="D18" s="72">
        <v>6</v>
      </c>
    </row>
    <row r="19" spans="1:8" ht="15" customHeight="1">
      <c r="A19" s="720" t="s">
        <v>59</v>
      </c>
      <c r="B19" s="721"/>
      <c r="C19" s="76"/>
      <c r="D19" s="76"/>
    </row>
    <row r="20" spans="1:8">
      <c r="A20" s="721" t="s">
        <v>60</v>
      </c>
      <c r="B20" s="790"/>
      <c r="C20" s="76"/>
      <c r="D20" s="76"/>
    </row>
    <row r="21" spans="1:8">
      <c r="A21" s="721" t="s">
        <v>61</v>
      </c>
      <c r="B21" s="790"/>
      <c r="C21" s="76"/>
      <c r="D21" s="76"/>
    </row>
    <row r="22" spans="1:8" ht="15" customHeight="1">
      <c r="A22" s="721" t="s">
        <v>62</v>
      </c>
      <c r="B22" s="790"/>
      <c r="C22" s="76"/>
      <c r="D22" s="76"/>
    </row>
    <row r="23" spans="1:8" ht="15.75" customHeight="1" thickBot="1">
      <c r="A23" s="764" t="s">
        <v>63</v>
      </c>
      <c r="B23" s="793"/>
      <c r="C23" s="76"/>
      <c r="D23" s="76"/>
    </row>
    <row r="24" spans="1:8" ht="15.75" thickBot="1">
      <c r="A24" s="722" t="s">
        <v>64</v>
      </c>
      <c r="B24" s="716"/>
      <c r="C24" s="76"/>
      <c r="D24" s="76"/>
    </row>
    <row r="25" spans="1:8">
      <c r="A25" s="723" t="s">
        <v>66</v>
      </c>
      <c r="B25" s="724"/>
      <c r="C25" s="76"/>
      <c r="D25" s="76"/>
      <c r="H25" t="s">
        <v>328</v>
      </c>
    </row>
    <row r="26" spans="1:8">
      <c r="A26" s="60" t="s">
        <v>68</v>
      </c>
      <c r="B26" s="61"/>
      <c r="C26" s="76"/>
      <c r="D26" s="76"/>
    </row>
    <row r="27" spans="1:8" ht="15" customHeight="1">
      <c r="A27" s="715" t="s">
        <v>501</v>
      </c>
      <c r="B27" s="768"/>
      <c r="C27" s="127" t="s">
        <v>428</v>
      </c>
      <c r="D27" s="137">
        <f>4+4+4</f>
        <v>12</v>
      </c>
    </row>
    <row r="28" spans="1:8">
      <c r="A28" s="84" t="s">
        <v>276</v>
      </c>
      <c r="B28" s="112"/>
      <c r="C28" s="127" t="s">
        <v>275</v>
      </c>
      <c r="D28" s="137">
        <v>3</v>
      </c>
    </row>
    <row r="29" spans="1:8" ht="29.25" customHeight="1">
      <c r="A29" s="84" t="s">
        <v>502</v>
      </c>
      <c r="B29" s="85"/>
      <c r="C29" s="94" t="s">
        <v>352</v>
      </c>
      <c r="D29" s="72">
        <f>1.5+1.5</f>
        <v>3</v>
      </c>
    </row>
    <row r="30" spans="1:8" ht="30.75" customHeight="1">
      <c r="A30" s="97" t="s">
        <v>503</v>
      </c>
      <c r="B30" s="85"/>
      <c r="C30" s="94" t="s">
        <v>415</v>
      </c>
      <c r="D30" s="72">
        <f>5+5+5</f>
        <v>15</v>
      </c>
    </row>
    <row r="31" spans="1:8" s="73" customFormat="1" ht="14.25" customHeight="1">
      <c r="A31" s="84" t="s">
        <v>319</v>
      </c>
      <c r="B31" s="85"/>
      <c r="C31" s="72" t="s">
        <v>275</v>
      </c>
      <c r="D31" s="72">
        <v>2</v>
      </c>
    </row>
    <row r="32" spans="1:8" s="73" customFormat="1" ht="25.5" customHeight="1">
      <c r="A32" s="97" t="s">
        <v>508</v>
      </c>
      <c r="B32" s="85"/>
      <c r="C32" s="94" t="s">
        <v>486</v>
      </c>
      <c r="D32" s="72">
        <v>6</v>
      </c>
    </row>
    <row r="33" spans="1:4" ht="15" customHeight="1">
      <c r="A33" s="62" t="s">
        <v>74</v>
      </c>
      <c r="B33" s="63"/>
      <c r="C33" s="76"/>
      <c r="D33" s="76"/>
    </row>
    <row r="34" spans="1:4">
      <c r="A34" s="62" t="s">
        <v>236</v>
      </c>
      <c r="B34" s="63"/>
      <c r="C34" s="76"/>
      <c r="D34" s="76"/>
    </row>
    <row r="35" spans="1:4" ht="15" customHeight="1">
      <c r="A35" s="64" t="s">
        <v>237</v>
      </c>
      <c r="B35" s="65"/>
      <c r="C35" s="76"/>
      <c r="D35" s="76"/>
    </row>
    <row r="36" spans="1:4" ht="15" customHeight="1">
      <c r="A36" s="66" t="s">
        <v>80</v>
      </c>
      <c r="B36" s="67"/>
      <c r="C36" s="76"/>
      <c r="D36" s="76"/>
    </row>
    <row r="37" spans="1:4" ht="15" customHeight="1">
      <c r="A37" s="64" t="s">
        <v>82</v>
      </c>
      <c r="B37" s="65"/>
      <c r="C37" s="76"/>
      <c r="D37" s="76"/>
    </row>
    <row r="38" spans="1:4">
      <c r="A38" s="64" t="s">
        <v>84</v>
      </c>
      <c r="B38" s="65"/>
      <c r="C38" s="76"/>
      <c r="D38" s="76"/>
    </row>
    <row r="39" spans="1:4" ht="15" customHeight="1">
      <c r="A39" s="64" t="s">
        <v>86</v>
      </c>
      <c r="B39" s="65"/>
      <c r="C39" s="76"/>
      <c r="D39" s="76"/>
    </row>
    <row r="40" spans="1:4" ht="15" customHeight="1">
      <c r="A40" s="68" t="s">
        <v>88</v>
      </c>
      <c r="B40" s="69"/>
      <c r="C40" s="76"/>
      <c r="D40" s="76"/>
    </row>
    <row r="41" spans="1:4">
      <c r="A41" s="725" t="s">
        <v>90</v>
      </c>
      <c r="B41" s="726"/>
      <c r="C41" s="76"/>
      <c r="D41" s="76"/>
    </row>
    <row r="42" spans="1:4" ht="15" customHeight="1">
      <c r="A42" s="714" t="s">
        <v>459</v>
      </c>
      <c r="B42" s="715"/>
      <c r="C42" s="127" t="s">
        <v>253</v>
      </c>
      <c r="D42" s="137">
        <v>1</v>
      </c>
    </row>
    <row r="43" spans="1:4" s="73" customFormat="1" ht="15" customHeight="1">
      <c r="A43" s="84" t="s">
        <v>505</v>
      </c>
      <c r="B43" s="85"/>
      <c r="C43" s="72" t="s">
        <v>267</v>
      </c>
      <c r="D43" s="72">
        <v>8</v>
      </c>
    </row>
    <row r="44" spans="1:4" s="73" customFormat="1" ht="36" customHeight="1">
      <c r="A44" s="97" t="s">
        <v>506</v>
      </c>
      <c r="B44" s="85"/>
      <c r="C44" s="94" t="s">
        <v>415</v>
      </c>
      <c r="D44" s="72">
        <v>9</v>
      </c>
    </row>
    <row r="45" spans="1:4" s="73" customFormat="1" ht="27.75" customHeight="1">
      <c r="A45" s="97" t="s">
        <v>323</v>
      </c>
      <c r="B45" s="85"/>
      <c r="C45" s="94" t="s">
        <v>326</v>
      </c>
      <c r="D45" s="72">
        <v>6</v>
      </c>
    </row>
    <row r="46" spans="1:4" s="73" customFormat="1" ht="32.25" customHeight="1">
      <c r="A46" s="715" t="s">
        <v>330</v>
      </c>
      <c r="B46" s="768"/>
      <c r="C46" s="94" t="s">
        <v>331</v>
      </c>
      <c r="D46" s="72">
        <f>4*8</f>
        <v>32</v>
      </c>
    </row>
    <row r="47" spans="1:4" s="73" customFormat="1" ht="18" customHeight="1">
      <c r="A47" s="97" t="s">
        <v>509</v>
      </c>
      <c r="B47" s="85"/>
      <c r="C47" s="94" t="s">
        <v>309</v>
      </c>
      <c r="D47" s="72">
        <v>2.5</v>
      </c>
    </row>
    <row r="48" spans="1:4" s="73" customFormat="1" ht="18.75" customHeight="1">
      <c r="A48" s="715" t="s">
        <v>510</v>
      </c>
      <c r="B48" s="768"/>
      <c r="C48" s="94" t="s">
        <v>286</v>
      </c>
      <c r="D48" s="72">
        <v>6</v>
      </c>
    </row>
    <row r="49" spans="1:4" s="73" customFormat="1">
      <c r="A49" s="84" t="s">
        <v>511</v>
      </c>
      <c r="B49" s="85"/>
      <c r="C49" s="72" t="s">
        <v>512</v>
      </c>
      <c r="D49" s="72">
        <v>4.5</v>
      </c>
    </row>
    <row r="50" spans="1:4" s="73" customFormat="1" ht="27" customHeight="1">
      <c r="A50" s="97" t="s">
        <v>515</v>
      </c>
      <c r="B50" s="85"/>
      <c r="C50" s="94" t="s">
        <v>343</v>
      </c>
      <c r="D50" s="72">
        <v>3</v>
      </c>
    </row>
    <row r="51" spans="1:4" s="73" customFormat="1" ht="18.75" customHeight="1">
      <c r="A51" s="715" t="s">
        <v>516</v>
      </c>
      <c r="B51" s="768"/>
      <c r="C51" s="94" t="s">
        <v>253</v>
      </c>
      <c r="D51" s="72">
        <v>1</v>
      </c>
    </row>
    <row r="52" spans="1:4" s="73" customFormat="1">
      <c r="A52" s="84" t="s">
        <v>498</v>
      </c>
      <c r="B52" s="85"/>
      <c r="C52" s="72" t="s">
        <v>274</v>
      </c>
      <c r="D52" s="72">
        <v>1</v>
      </c>
    </row>
    <row r="53" spans="1:4" s="73" customFormat="1" ht="28.5" customHeight="1">
      <c r="A53" s="769" t="s">
        <v>517</v>
      </c>
      <c r="B53" s="770"/>
      <c r="C53" s="72" t="s">
        <v>309</v>
      </c>
      <c r="D53" s="72">
        <v>4</v>
      </c>
    </row>
    <row r="54" spans="1:4">
      <c r="A54" s="62" t="s">
        <v>276</v>
      </c>
      <c r="B54" s="63"/>
      <c r="C54" s="76" t="s">
        <v>275</v>
      </c>
      <c r="D54" s="76">
        <v>3</v>
      </c>
    </row>
    <row r="55" spans="1:4" ht="15.75" customHeight="1" thickBot="1">
      <c r="A55" s="730" t="s">
        <v>98</v>
      </c>
      <c r="B55" s="731"/>
      <c r="C55" s="76"/>
      <c r="D55" s="76"/>
    </row>
    <row r="56" spans="1:4" ht="15.75" thickBot="1">
      <c r="A56" s="716" t="s">
        <v>99</v>
      </c>
      <c r="B56" s="717"/>
      <c r="C56" s="76"/>
      <c r="D56" s="76"/>
    </row>
    <row r="57" spans="1:4" ht="15.75" thickBot="1">
      <c r="A57" s="791" t="s">
        <v>100</v>
      </c>
      <c r="B57" s="792"/>
      <c r="C57" s="76"/>
      <c r="D57" s="76"/>
    </row>
    <row r="58" spans="1:4" ht="15.75" thickBot="1">
      <c r="A58" s="716" t="s">
        <v>101</v>
      </c>
      <c r="B58" s="717"/>
      <c r="C58" s="76"/>
      <c r="D58" s="76"/>
    </row>
    <row r="59" spans="1:4" ht="15.75" thickBot="1">
      <c r="A59" s="734" t="s">
        <v>102</v>
      </c>
      <c r="B59" s="718"/>
      <c r="C59" s="76" t="s">
        <v>241</v>
      </c>
      <c r="D59" s="76"/>
    </row>
    <row r="60" spans="1:4" s="73" customFormat="1">
      <c r="A60" s="168" t="s">
        <v>499</v>
      </c>
      <c r="B60" s="88"/>
      <c r="C60" s="72" t="s">
        <v>241</v>
      </c>
      <c r="D60" s="72">
        <f>130.2+29.17+16+175</f>
        <v>350.37</v>
      </c>
    </row>
    <row r="61" spans="1:4" s="73" customFormat="1">
      <c r="A61" s="168" t="s">
        <v>438</v>
      </c>
      <c r="B61" s="88"/>
      <c r="C61" s="72" t="s">
        <v>241</v>
      </c>
      <c r="D61" s="72">
        <f>1.25*130+175</f>
        <v>337.5</v>
      </c>
    </row>
    <row r="62" spans="1:4" s="73" customFormat="1">
      <c r="A62" s="168" t="s">
        <v>440</v>
      </c>
      <c r="B62" s="88"/>
      <c r="C62" s="72" t="s">
        <v>241</v>
      </c>
      <c r="D62" s="72">
        <f>0.75*130+175</f>
        <v>272.5</v>
      </c>
    </row>
    <row r="63" spans="1:4" s="73" customFormat="1">
      <c r="A63" s="168" t="s">
        <v>500</v>
      </c>
      <c r="B63" s="88"/>
      <c r="C63" s="72" t="s">
        <v>241</v>
      </c>
      <c r="D63" s="72">
        <f>175+130*1.5</f>
        <v>370</v>
      </c>
    </row>
    <row r="64" spans="1:4">
      <c r="A64" s="168" t="s">
        <v>460</v>
      </c>
      <c r="B64" s="107"/>
      <c r="C64" s="137"/>
      <c r="D64" s="137">
        <v>1.5</v>
      </c>
    </row>
    <row r="65" spans="1:4">
      <c r="A65" s="168" t="s">
        <v>461</v>
      </c>
      <c r="B65" s="107"/>
      <c r="C65" s="137"/>
      <c r="D65" s="137">
        <v>1.5</v>
      </c>
    </row>
    <row r="66" spans="1:4">
      <c r="A66" s="169" t="s">
        <v>463</v>
      </c>
      <c r="B66" s="107"/>
      <c r="C66" s="137"/>
      <c r="D66" s="137">
        <v>1.25</v>
      </c>
    </row>
    <row r="67" spans="1:4" s="73" customFormat="1">
      <c r="A67" s="168" t="s">
        <v>504</v>
      </c>
      <c r="B67" s="88"/>
      <c r="C67" s="72" t="s">
        <v>241</v>
      </c>
      <c r="D67" s="72">
        <v>1</v>
      </c>
    </row>
    <row r="68" spans="1:4" s="73" customFormat="1">
      <c r="A68" s="168" t="s">
        <v>507</v>
      </c>
      <c r="B68" s="88"/>
      <c r="C68" s="72" t="s">
        <v>241</v>
      </c>
      <c r="D68" s="72">
        <v>2</v>
      </c>
    </row>
    <row r="69" spans="1:4" s="73" customFormat="1">
      <c r="A69" s="87" t="s">
        <v>314</v>
      </c>
      <c r="B69" s="88"/>
      <c r="C69" s="72" t="s">
        <v>241</v>
      </c>
      <c r="D69" s="72">
        <v>1.5</v>
      </c>
    </row>
    <row r="70" spans="1:4" s="73" customFormat="1">
      <c r="A70" s="87" t="s">
        <v>321</v>
      </c>
      <c r="B70" s="88"/>
      <c r="C70" s="72" t="s">
        <v>241</v>
      </c>
      <c r="D70" s="72">
        <v>2</v>
      </c>
    </row>
    <row r="71" spans="1:4" s="73" customFormat="1">
      <c r="A71" s="87" t="s">
        <v>327</v>
      </c>
      <c r="B71" s="88"/>
      <c r="C71" s="72" t="s">
        <v>241</v>
      </c>
      <c r="D71" s="72">
        <v>1</v>
      </c>
    </row>
    <row r="72" spans="1:4" s="73" customFormat="1">
      <c r="A72" s="87"/>
      <c r="B72" s="88"/>
      <c r="C72" s="72"/>
      <c r="D72" s="72"/>
    </row>
    <row r="73" spans="1:4" ht="15.75" thickBot="1">
      <c r="A73" s="735" t="s">
        <v>103</v>
      </c>
      <c r="B73" s="736"/>
      <c r="C73" s="76"/>
      <c r="D73" s="76"/>
    </row>
    <row r="74" spans="1:4" ht="15.75" thickBot="1">
      <c r="A74" s="737" t="s">
        <v>104</v>
      </c>
      <c r="B74" s="738"/>
      <c r="C74" s="76"/>
      <c r="D74" s="76"/>
    </row>
    <row r="75" spans="1:4">
      <c r="A75" s="78"/>
      <c r="B75" s="78"/>
      <c r="C75" s="75"/>
      <c r="D75" s="75"/>
    </row>
    <row r="76" spans="1:4" ht="15.75">
      <c r="A76" s="727" t="s">
        <v>233</v>
      </c>
      <c r="B76" s="727"/>
      <c r="C76" s="727"/>
      <c r="D76" s="727"/>
    </row>
    <row r="77" spans="1:4">
      <c r="A77" s="75"/>
      <c r="B77" s="75"/>
      <c r="C77" s="75"/>
      <c r="D77" s="75"/>
    </row>
    <row r="78" spans="1:4" ht="15.75">
      <c r="A78" s="727" t="s">
        <v>234</v>
      </c>
      <c r="B78" s="727"/>
      <c r="C78" s="727"/>
      <c r="D78" s="727"/>
    </row>
  </sheetData>
  <mergeCells count="39">
    <mergeCell ref="A27:B27"/>
    <mergeCell ref="A42:B42"/>
    <mergeCell ref="A48:B48"/>
    <mergeCell ref="A18:B18"/>
    <mergeCell ref="A51:B51"/>
    <mergeCell ref="A41:B41"/>
    <mergeCell ref="A21:B21"/>
    <mergeCell ref="A22:B22"/>
    <mergeCell ref="A23:B23"/>
    <mergeCell ref="A24:B24"/>
    <mergeCell ref="A25:B25"/>
    <mergeCell ref="A76:D76"/>
    <mergeCell ref="A78:D78"/>
    <mergeCell ref="A46:B46"/>
    <mergeCell ref="A55:B55"/>
    <mergeCell ref="A56:B56"/>
    <mergeCell ref="A57:B57"/>
    <mergeCell ref="A58:B58"/>
    <mergeCell ref="A59:B59"/>
    <mergeCell ref="A73:B73"/>
    <mergeCell ref="A74:B74"/>
    <mergeCell ref="A53:B53"/>
    <mergeCell ref="A14:B14"/>
    <mergeCell ref="A15:B15"/>
    <mergeCell ref="A17:B17"/>
    <mergeCell ref="A19:B19"/>
    <mergeCell ref="A20:B20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U76"/>
  <sheetViews>
    <sheetView topLeftCell="A31" workbookViewId="0">
      <selection activeCell="B62" sqref="B62"/>
    </sheetView>
  </sheetViews>
  <sheetFormatPr defaultRowHeight="15"/>
  <cols>
    <col min="1" max="1" width="87.42578125" customWidth="1"/>
    <col min="2" max="2" width="30.7109375" customWidth="1"/>
  </cols>
  <sheetData>
    <row r="1" spans="1:3" ht="15.75">
      <c r="A1" s="701" t="s">
        <v>230</v>
      </c>
      <c r="B1" s="701"/>
      <c r="C1" s="701"/>
    </row>
    <row r="2" spans="1:3" ht="15.75">
      <c r="A2" s="702" t="s">
        <v>277</v>
      </c>
      <c r="B2" s="702"/>
      <c r="C2" s="702"/>
    </row>
    <row r="3" spans="1:3" s="55" customFormat="1" ht="15.75">
      <c r="A3" s="702" t="s">
        <v>622</v>
      </c>
      <c r="B3" s="702"/>
      <c r="C3" s="702"/>
    </row>
    <row r="4" spans="1:3" s="55" customFormat="1" ht="15.75">
      <c r="A4" s="95"/>
      <c r="B4" s="86"/>
      <c r="C4" s="86"/>
    </row>
    <row r="5" spans="1:3" ht="30">
      <c r="A5" s="199" t="s">
        <v>229</v>
      </c>
      <c r="B5" s="83" t="s">
        <v>231</v>
      </c>
      <c r="C5" s="82" t="s">
        <v>621</v>
      </c>
    </row>
    <row r="6" spans="1:3">
      <c r="A6" s="224" t="s">
        <v>229</v>
      </c>
      <c r="B6" s="72"/>
      <c r="C6" s="72"/>
    </row>
    <row r="7" spans="1:3">
      <c r="A7" s="191" t="s">
        <v>0</v>
      </c>
      <c r="B7" s="72"/>
      <c r="C7" s="72"/>
    </row>
    <row r="8" spans="1:3" ht="15.75" thickBot="1">
      <c r="A8" s="247" t="s">
        <v>29</v>
      </c>
      <c r="B8" s="129"/>
      <c r="C8" s="129"/>
    </row>
    <row r="9" spans="1:3" ht="15.75" thickBot="1">
      <c r="A9" s="201" t="s">
        <v>56</v>
      </c>
      <c r="B9" s="72"/>
      <c r="C9" s="72"/>
    </row>
    <row r="10" spans="1:3" ht="15.75" thickBot="1">
      <c r="A10" s="200" t="s">
        <v>57</v>
      </c>
      <c r="B10" s="72"/>
      <c r="C10" s="72"/>
    </row>
    <row r="11" spans="1:3" s="73" customFormat="1" ht="29.25" thickBot="1">
      <c r="A11" s="243" t="s">
        <v>681</v>
      </c>
      <c r="B11" s="72" t="s">
        <v>324</v>
      </c>
      <c r="C11" s="72">
        <v>6</v>
      </c>
    </row>
    <row r="12" spans="1:3" s="73" customFormat="1" ht="22.5" customHeight="1">
      <c r="A12" s="237" t="s">
        <v>694</v>
      </c>
      <c r="B12" s="72" t="s">
        <v>316</v>
      </c>
      <c r="C12" s="72">
        <v>6</v>
      </c>
    </row>
    <row r="13" spans="1:3" s="73" customFormat="1">
      <c r="A13" s="244" t="s">
        <v>66</v>
      </c>
      <c r="B13" s="72"/>
      <c r="C13" s="72"/>
    </row>
    <row r="14" spans="1:3" s="73" customFormat="1" ht="44.25" customHeight="1">
      <c r="A14" s="97" t="s">
        <v>666</v>
      </c>
      <c r="B14" s="72" t="s">
        <v>667</v>
      </c>
      <c r="C14" s="72">
        <v>1.5</v>
      </c>
    </row>
    <row r="15" spans="1:3" s="73" customFormat="1" ht="15" customHeight="1">
      <c r="A15" s="84" t="s">
        <v>668</v>
      </c>
      <c r="B15" s="72" t="s">
        <v>667</v>
      </c>
      <c r="C15" s="72">
        <v>1.5</v>
      </c>
    </row>
    <row r="16" spans="1:3" s="73" customFormat="1" ht="28.5">
      <c r="A16" s="246" t="s">
        <v>671</v>
      </c>
      <c r="B16" s="72" t="s">
        <v>672</v>
      </c>
      <c r="C16" s="72">
        <v>4.5</v>
      </c>
    </row>
    <row r="17" spans="1:3" s="73" customFormat="1" ht="15" customHeight="1">
      <c r="A17" s="84" t="s">
        <v>676</v>
      </c>
      <c r="B17" s="72" t="s">
        <v>270</v>
      </c>
      <c r="C17" s="72">
        <v>3</v>
      </c>
    </row>
    <row r="18" spans="1:3" s="73" customFormat="1" ht="33.75" customHeight="1">
      <c r="A18" s="97" t="s">
        <v>680</v>
      </c>
      <c r="B18" s="72" t="s">
        <v>325</v>
      </c>
      <c r="C18" s="72">
        <v>3</v>
      </c>
    </row>
    <row r="19" spans="1:3" s="73" customFormat="1">
      <c r="A19" s="238" t="s">
        <v>90</v>
      </c>
      <c r="B19" s="72"/>
      <c r="C19" s="72"/>
    </row>
    <row r="20" spans="1:3" s="73" customFormat="1">
      <c r="A20" s="246" t="s">
        <v>664</v>
      </c>
      <c r="B20" s="72" t="s">
        <v>665</v>
      </c>
      <c r="C20" s="72">
        <v>6</v>
      </c>
    </row>
    <row r="21" spans="1:3" s="73" customFormat="1">
      <c r="A21" s="246" t="s">
        <v>669</v>
      </c>
      <c r="B21" s="72" t="s">
        <v>670</v>
      </c>
      <c r="C21" s="72">
        <v>3</v>
      </c>
    </row>
    <row r="22" spans="1:3" s="73" customFormat="1">
      <c r="A22" s="242" t="s">
        <v>673</v>
      </c>
      <c r="B22" s="72" t="s">
        <v>619</v>
      </c>
      <c r="C22" s="72">
        <v>6</v>
      </c>
    </row>
    <row r="23" spans="1:3" s="73" customFormat="1">
      <c r="A23" s="242" t="s">
        <v>675</v>
      </c>
      <c r="B23" s="72" t="s">
        <v>370</v>
      </c>
      <c r="C23" s="72">
        <v>3</v>
      </c>
    </row>
    <row r="24" spans="1:3" s="73" customFormat="1" ht="33" customHeight="1">
      <c r="A24" s="236" t="s">
        <v>674</v>
      </c>
      <c r="B24" s="72" t="s">
        <v>370</v>
      </c>
      <c r="C24" s="72">
        <v>3</v>
      </c>
    </row>
    <row r="25" spans="1:3" s="73" customFormat="1">
      <c r="A25" s="236" t="s">
        <v>678</v>
      </c>
      <c r="B25" s="72" t="s">
        <v>324</v>
      </c>
      <c r="C25" s="72">
        <v>3</v>
      </c>
    </row>
    <row r="26" spans="1:3" s="73" customFormat="1">
      <c r="A26" s="239" t="s">
        <v>679</v>
      </c>
      <c r="B26" s="72" t="s">
        <v>325</v>
      </c>
      <c r="C26" s="72">
        <v>4.5</v>
      </c>
    </row>
    <row r="27" spans="1:3" s="73" customFormat="1" ht="30.75" customHeight="1">
      <c r="A27" s="239" t="s">
        <v>682</v>
      </c>
      <c r="B27" s="72" t="s">
        <v>275</v>
      </c>
      <c r="C27" s="72">
        <v>1</v>
      </c>
    </row>
    <row r="28" spans="1:3" s="73" customFormat="1" ht="15.75" customHeight="1">
      <c r="A28" s="235" t="s">
        <v>683</v>
      </c>
      <c r="B28" s="72" t="s">
        <v>665</v>
      </c>
      <c r="C28" s="72">
        <v>6</v>
      </c>
    </row>
    <row r="29" spans="1:3" s="73" customFormat="1" ht="28.5">
      <c r="A29" s="246" t="s">
        <v>685</v>
      </c>
      <c r="B29" s="72" t="s">
        <v>618</v>
      </c>
      <c r="C29" s="72">
        <v>6</v>
      </c>
    </row>
    <row r="30" spans="1:3" s="73" customFormat="1" ht="42.75">
      <c r="A30" s="246" t="s">
        <v>687</v>
      </c>
      <c r="B30" s="72" t="s">
        <v>619</v>
      </c>
      <c r="C30" s="72">
        <v>6</v>
      </c>
    </row>
    <row r="31" spans="1:3" s="73" customFormat="1" ht="33" customHeight="1">
      <c r="A31" s="89" t="s">
        <v>688</v>
      </c>
      <c r="B31" s="72" t="s">
        <v>368</v>
      </c>
      <c r="C31" s="72">
        <v>6</v>
      </c>
    </row>
    <row r="32" spans="1:3" s="73" customFormat="1">
      <c r="A32" s="128" t="s">
        <v>690</v>
      </c>
      <c r="B32" s="72" t="s">
        <v>691</v>
      </c>
      <c r="C32" s="72">
        <v>3</v>
      </c>
    </row>
    <row r="33" spans="1:3" s="73" customFormat="1" ht="28.5">
      <c r="A33" s="89" t="s">
        <v>703</v>
      </c>
      <c r="B33" s="72" t="s">
        <v>324</v>
      </c>
      <c r="C33" s="72">
        <v>4</v>
      </c>
    </row>
    <row r="34" spans="1:3" s="73" customFormat="1">
      <c r="A34" s="89" t="s">
        <v>704</v>
      </c>
      <c r="B34" s="72" t="s">
        <v>617</v>
      </c>
      <c r="C34" s="72">
        <v>3</v>
      </c>
    </row>
    <row r="35" spans="1:3" s="73" customFormat="1">
      <c r="A35" s="89" t="s">
        <v>705</v>
      </c>
      <c r="B35" s="72" t="s">
        <v>617</v>
      </c>
      <c r="C35" s="72">
        <v>3</v>
      </c>
    </row>
    <row r="36" spans="1:3" s="73" customFormat="1" ht="42.75">
      <c r="A36" s="89" t="s">
        <v>692</v>
      </c>
      <c r="B36" s="72" t="s">
        <v>693</v>
      </c>
      <c r="C36" s="72">
        <v>1</v>
      </c>
    </row>
    <row r="37" spans="1:3" s="73" customFormat="1">
      <c r="A37" s="225" t="s">
        <v>707</v>
      </c>
      <c r="B37" s="72" t="s">
        <v>708</v>
      </c>
      <c r="C37" s="72">
        <v>4</v>
      </c>
    </row>
    <row r="38" spans="1:3" s="73" customFormat="1" ht="28.5">
      <c r="A38" s="225" t="s">
        <v>709</v>
      </c>
      <c r="B38" s="72" t="s">
        <v>710</v>
      </c>
      <c r="C38" s="72">
        <v>6</v>
      </c>
    </row>
    <row r="39" spans="1:3" s="73" customFormat="1">
      <c r="A39" s="170" t="s">
        <v>695</v>
      </c>
      <c r="B39" s="72" t="s">
        <v>352</v>
      </c>
      <c r="C39" s="72">
        <f>2+2</f>
        <v>4</v>
      </c>
    </row>
    <row r="40" spans="1:3" s="73" customFormat="1">
      <c r="A40" s="242" t="s">
        <v>696</v>
      </c>
      <c r="B40" s="72" t="s">
        <v>697</v>
      </c>
      <c r="C40" s="72">
        <v>3</v>
      </c>
    </row>
    <row r="41" spans="1:3" s="73" customFormat="1" ht="31.5" customHeight="1">
      <c r="A41" s="236" t="s">
        <v>699</v>
      </c>
      <c r="B41" s="72" t="s">
        <v>316</v>
      </c>
      <c r="C41" s="72">
        <v>2</v>
      </c>
    </row>
    <row r="42" spans="1:3" s="73" customFormat="1" ht="42.75">
      <c r="A42" s="236" t="s">
        <v>700</v>
      </c>
      <c r="B42" s="72" t="s">
        <v>352</v>
      </c>
      <c r="C42" s="72">
        <v>4</v>
      </c>
    </row>
    <row r="43" spans="1:3" s="73" customFormat="1" ht="28.5" customHeight="1" thickBot="1">
      <c r="A43" s="242" t="s">
        <v>701</v>
      </c>
      <c r="B43" s="72" t="s">
        <v>702</v>
      </c>
      <c r="C43" s="72">
        <v>6</v>
      </c>
    </row>
    <row r="44" spans="1:3" s="73" customFormat="1" ht="15.75" customHeight="1">
      <c r="A44" s="240" t="s">
        <v>102</v>
      </c>
      <c r="B44" s="72"/>
      <c r="C44" s="72"/>
    </row>
    <row r="45" spans="1:3" s="73" customFormat="1">
      <c r="A45" s="245" t="s">
        <v>677</v>
      </c>
      <c r="B45" s="72" t="s">
        <v>241</v>
      </c>
      <c r="C45" s="72">
        <v>2</v>
      </c>
    </row>
    <row r="46" spans="1:3" s="73" customFormat="1" ht="28.5">
      <c r="A46" s="245" t="s">
        <v>684</v>
      </c>
      <c r="B46" s="72" t="s">
        <v>241</v>
      </c>
      <c r="C46" s="72">
        <v>1.5</v>
      </c>
    </row>
    <row r="47" spans="1:3" s="73" customFormat="1">
      <c r="A47" s="245" t="s">
        <v>686</v>
      </c>
      <c r="B47" s="72" t="s">
        <v>241</v>
      </c>
      <c r="C47" s="72">
        <v>1.5</v>
      </c>
    </row>
    <row r="48" spans="1:3" s="73" customFormat="1">
      <c r="A48" s="245" t="s">
        <v>689</v>
      </c>
      <c r="B48" s="72" t="s">
        <v>241</v>
      </c>
      <c r="C48" s="72">
        <v>1</v>
      </c>
    </row>
    <row r="49" spans="1:255" s="73" customFormat="1">
      <c r="A49" s="245" t="s">
        <v>706</v>
      </c>
      <c r="B49" s="72" t="s">
        <v>241</v>
      </c>
      <c r="C49" s="72">
        <v>2</v>
      </c>
    </row>
    <row r="50" spans="1:255" s="73" customFormat="1">
      <c r="A50" s="245" t="s">
        <v>698</v>
      </c>
      <c r="B50" s="72" t="s">
        <v>241</v>
      </c>
      <c r="C50" s="72">
        <v>1.5</v>
      </c>
    </row>
    <row r="51" spans="1:255" s="73" customFormat="1" ht="15.75" thickBot="1">
      <c r="A51" s="241" t="s">
        <v>623</v>
      </c>
      <c r="B51" s="72"/>
      <c r="C51" s="72">
        <f>SUM(C11:C50)</f>
        <v>131.5</v>
      </c>
    </row>
    <row r="52" spans="1:255">
      <c r="A52" s="78"/>
      <c r="B52" s="75"/>
      <c r="C52" s="75"/>
    </row>
    <row r="54" spans="1:255" s="179" customFormat="1" ht="43.5" customHeight="1">
      <c r="A54" s="742" t="s">
        <v>616</v>
      </c>
      <c r="B54" s="742"/>
      <c r="IU54"/>
    </row>
    <row r="55" spans="1:255">
      <c r="A55" s="180" t="s">
        <v>593</v>
      </c>
      <c r="B55" s="180">
        <v>2600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179"/>
      <c r="HX55" s="179"/>
      <c r="HY55" s="179"/>
      <c r="HZ55" s="179"/>
      <c r="IA55" s="179"/>
      <c r="IB55" s="179"/>
      <c r="IC55" s="179"/>
      <c r="ID55" s="179"/>
      <c r="IE55" s="179"/>
      <c r="IF55" s="179"/>
      <c r="IG55" s="179"/>
      <c r="IH55" s="179"/>
      <c r="II55" s="179"/>
      <c r="IJ55" s="179"/>
      <c r="IK55" s="179"/>
      <c r="IL55" s="179"/>
      <c r="IM55" s="179"/>
      <c r="IN55" s="179"/>
      <c r="IO55" s="179"/>
      <c r="IP55" s="179"/>
      <c r="IQ55" s="179"/>
      <c r="IR55" s="179"/>
      <c r="IS55" s="179"/>
      <c r="IT55" s="179"/>
    </row>
    <row r="56" spans="1:255">
      <c r="A56" s="180" t="s">
        <v>594</v>
      </c>
      <c r="B56" s="180">
        <v>19.16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9"/>
      <c r="GL56" s="179"/>
      <c r="GM56" s="179"/>
      <c r="GN56" s="179"/>
      <c r="GO56" s="179"/>
      <c r="GP56" s="179"/>
      <c r="GQ56" s="179"/>
      <c r="GR56" s="179"/>
      <c r="GS56" s="179"/>
      <c r="GT56" s="179"/>
      <c r="GU56" s="179"/>
      <c r="GV56" s="179"/>
      <c r="GW56" s="179"/>
      <c r="GX56" s="179"/>
      <c r="GY56" s="179"/>
      <c r="GZ56" s="179"/>
      <c r="HA56" s="179"/>
      <c r="HB56" s="179"/>
      <c r="HC56" s="179"/>
      <c r="HD56" s="179"/>
      <c r="HE56" s="179"/>
      <c r="HF56" s="179"/>
      <c r="HG56" s="179"/>
      <c r="HH56" s="179"/>
      <c r="HI56" s="179"/>
      <c r="HJ56" s="179"/>
      <c r="HK56" s="179"/>
      <c r="HL56" s="179"/>
      <c r="HM56" s="179"/>
      <c r="HN56" s="179"/>
      <c r="HO56" s="179"/>
      <c r="HP56" s="179"/>
      <c r="HQ56" s="179"/>
      <c r="HR56" s="179"/>
      <c r="HS56" s="179"/>
      <c r="HT56" s="179"/>
      <c r="HU56" s="179"/>
      <c r="HV56" s="179"/>
      <c r="HW56" s="179"/>
      <c r="HX56" s="179"/>
      <c r="HY56" s="179"/>
      <c r="HZ56" s="179"/>
      <c r="IA56" s="179"/>
      <c r="IB56" s="179"/>
      <c r="IC56" s="179"/>
      <c r="ID56" s="179"/>
      <c r="IE56" s="179"/>
      <c r="IF56" s="179"/>
      <c r="IG56" s="179"/>
      <c r="IH56" s="179"/>
      <c r="II56" s="179"/>
      <c r="IJ56" s="179"/>
      <c r="IK56" s="179"/>
      <c r="IL56" s="179"/>
      <c r="IM56" s="179"/>
      <c r="IN56" s="179"/>
      <c r="IO56" s="179"/>
      <c r="IP56" s="179"/>
      <c r="IQ56" s="179"/>
      <c r="IR56" s="179"/>
      <c r="IS56" s="179"/>
      <c r="IT56" s="179"/>
    </row>
    <row r="57" spans="1:255">
      <c r="A57" s="181" t="s">
        <v>711</v>
      </c>
      <c r="B57" s="181">
        <v>148878.18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  <c r="FL57" s="179"/>
      <c r="FM57" s="179"/>
      <c r="FN57" s="179"/>
      <c r="FO57" s="179"/>
      <c r="FP57" s="179"/>
      <c r="FQ57" s="179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9"/>
      <c r="GL57" s="179"/>
      <c r="GM57" s="179"/>
      <c r="GN57" s="179"/>
      <c r="GO57" s="179"/>
      <c r="GP57" s="179"/>
      <c r="GQ57" s="179"/>
      <c r="GR57" s="179"/>
      <c r="GS57" s="179"/>
      <c r="GT57" s="179"/>
      <c r="GU57" s="179"/>
      <c r="GV57" s="179"/>
      <c r="GW57" s="179"/>
      <c r="GX57" s="179"/>
      <c r="GY57" s="179"/>
      <c r="GZ57" s="179"/>
      <c r="HA57" s="179"/>
      <c r="HB57" s="179"/>
      <c r="HC57" s="179"/>
      <c r="HD57" s="179"/>
      <c r="HE57" s="179"/>
      <c r="HF57" s="179"/>
      <c r="HG57" s="179"/>
      <c r="HH57" s="179"/>
      <c r="HI57" s="179"/>
      <c r="HJ57" s="179"/>
      <c r="HK57" s="179"/>
      <c r="HL57" s="179"/>
      <c r="HM57" s="179"/>
      <c r="HN57" s="179"/>
      <c r="HO57" s="179"/>
      <c r="HP57" s="179"/>
      <c r="HQ57" s="179"/>
      <c r="HR57" s="179"/>
      <c r="HS57" s="179"/>
      <c r="HT57" s="179"/>
      <c r="HU57" s="179"/>
      <c r="HV57" s="179"/>
      <c r="HW57" s="179"/>
      <c r="HX57" s="179"/>
      <c r="HY57" s="179"/>
      <c r="HZ57" s="179"/>
      <c r="IA57" s="179"/>
      <c r="IB57" s="179"/>
      <c r="IC57" s="179"/>
      <c r="ID57" s="179"/>
      <c r="IE57" s="179"/>
      <c r="IF57" s="179"/>
      <c r="IG57" s="179"/>
      <c r="IH57" s="179"/>
      <c r="II57" s="179"/>
      <c r="IJ57" s="179"/>
      <c r="IK57" s="179"/>
      <c r="IL57" s="179"/>
      <c r="IM57" s="179"/>
      <c r="IN57" s="179"/>
      <c r="IO57" s="179"/>
      <c r="IP57" s="179"/>
      <c r="IQ57" s="179"/>
      <c r="IR57" s="179"/>
      <c r="IS57" s="179"/>
      <c r="IT57" s="179"/>
    </row>
    <row r="58" spans="1:255">
      <c r="A58" s="181" t="s">
        <v>661</v>
      </c>
      <c r="B58" s="181">
        <f>B55*B56*4</f>
        <v>199264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  <c r="FL58" s="179"/>
      <c r="FM58" s="179"/>
      <c r="FN58" s="179"/>
      <c r="FO58" s="179"/>
      <c r="FP58" s="179"/>
      <c r="FQ58" s="179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9"/>
      <c r="GL58" s="179"/>
      <c r="GM58" s="179"/>
      <c r="GN58" s="179"/>
      <c r="GO58" s="179"/>
      <c r="GP58" s="179"/>
      <c r="GQ58" s="179"/>
      <c r="GR58" s="179"/>
      <c r="GS58" s="179"/>
      <c r="GT58" s="179"/>
      <c r="GU58" s="179"/>
      <c r="GV58" s="179"/>
      <c r="GW58" s="179"/>
      <c r="GX58" s="179"/>
      <c r="GY58" s="179"/>
      <c r="GZ58" s="179"/>
      <c r="HA58" s="179"/>
      <c r="HB58" s="179"/>
      <c r="HC58" s="179"/>
      <c r="HD58" s="179"/>
      <c r="HE58" s="179"/>
      <c r="HF58" s="179"/>
      <c r="HG58" s="179"/>
      <c r="HH58" s="179"/>
      <c r="HI58" s="179"/>
      <c r="HJ58" s="179"/>
      <c r="HK58" s="179"/>
      <c r="HL58" s="179"/>
      <c r="HM58" s="179"/>
      <c r="HN58" s="179"/>
      <c r="HO58" s="179"/>
      <c r="HP58" s="179"/>
      <c r="HQ58" s="179"/>
      <c r="HR58" s="179"/>
      <c r="HS58" s="179"/>
      <c r="HT58" s="179"/>
      <c r="HU58" s="179"/>
      <c r="HV58" s="179"/>
      <c r="HW58" s="179"/>
      <c r="HX58" s="179"/>
      <c r="HY58" s="179"/>
      <c r="HZ58" s="179"/>
      <c r="IA58" s="179"/>
      <c r="IB58" s="179"/>
      <c r="IC58" s="179"/>
      <c r="ID58" s="179"/>
      <c r="IE58" s="179"/>
      <c r="IF58" s="179"/>
      <c r="IG58" s="179"/>
      <c r="IH58" s="179"/>
      <c r="II58" s="179"/>
      <c r="IJ58" s="179"/>
      <c r="IK58" s="179"/>
      <c r="IL58" s="179"/>
      <c r="IM58" s="179"/>
      <c r="IN58" s="179"/>
      <c r="IO58" s="179"/>
      <c r="IP58" s="179"/>
      <c r="IQ58" s="179"/>
      <c r="IR58" s="179"/>
      <c r="IS58" s="179"/>
      <c r="IT58" s="179"/>
    </row>
    <row r="59" spans="1:255">
      <c r="A59" s="181" t="s">
        <v>595</v>
      </c>
      <c r="B59" s="181">
        <f>B58-B61</f>
        <v>65678.59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79"/>
      <c r="FK59" s="179"/>
      <c r="FL59" s="179"/>
      <c r="FM59" s="179"/>
      <c r="FN59" s="179"/>
      <c r="FO59" s="179"/>
      <c r="FP59" s="179"/>
      <c r="FQ59" s="179"/>
      <c r="FR59" s="179"/>
      <c r="FS59" s="179"/>
      <c r="FT59" s="179"/>
      <c r="FU59" s="179"/>
      <c r="FV59" s="179"/>
      <c r="FW59" s="179"/>
      <c r="FX59" s="179"/>
      <c r="FY59" s="179"/>
      <c r="FZ59" s="179"/>
      <c r="GA59" s="179"/>
      <c r="GB59" s="179"/>
      <c r="GC59" s="179"/>
      <c r="GD59" s="179"/>
      <c r="GE59" s="179"/>
      <c r="GF59" s="179"/>
      <c r="GG59" s="179"/>
      <c r="GH59" s="179"/>
      <c r="GI59" s="179"/>
      <c r="GJ59" s="179"/>
      <c r="GK59" s="179"/>
      <c r="GL59" s="179"/>
      <c r="GM59" s="179"/>
      <c r="GN59" s="179"/>
      <c r="GO59" s="179"/>
      <c r="GP59" s="179"/>
      <c r="GQ59" s="179"/>
      <c r="GR59" s="179"/>
      <c r="GS59" s="179"/>
      <c r="GT59" s="179"/>
      <c r="GU59" s="179"/>
      <c r="GV59" s="179"/>
      <c r="GW59" s="179"/>
      <c r="GX59" s="179"/>
      <c r="GY59" s="179"/>
      <c r="GZ59" s="179"/>
      <c r="HA59" s="179"/>
      <c r="HB59" s="179"/>
      <c r="HC59" s="179"/>
      <c r="HD59" s="179"/>
      <c r="HE59" s="179"/>
      <c r="HF59" s="179"/>
      <c r="HG59" s="179"/>
      <c r="HH59" s="179"/>
      <c r="HI59" s="179"/>
      <c r="HJ59" s="179"/>
      <c r="HK59" s="179"/>
      <c r="HL59" s="179"/>
      <c r="HM59" s="179"/>
      <c r="HN59" s="179"/>
      <c r="HO59" s="179"/>
      <c r="HP59" s="179"/>
      <c r="HQ59" s="179"/>
      <c r="HR59" s="179"/>
      <c r="HS59" s="179"/>
      <c r="HT59" s="179"/>
      <c r="HU59" s="179"/>
      <c r="HV59" s="179"/>
      <c r="HW59" s="179"/>
      <c r="HX59" s="179"/>
      <c r="HY59" s="179"/>
      <c r="HZ59" s="179"/>
      <c r="IA59" s="179"/>
      <c r="IB59" s="179"/>
      <c r="IC59" s="179"/>
      <c r="ID59" s="179"/>
      <c r="IE59" s="179"/>
      <c r="IF59" s="179"/>
      <c r="IG59" s="179"/>
      <c r="IH59" s="179"/>
      <c r="II59" s="179"/>
      <c r="IJ59" s="179"/>
      <c r="IK59" s="179"/>
      <c r="IL59" s="179"/>
      <c r="IM59" s="179"/>
      <c r="IN59" s="179"/>
      <c r="IO59" s="179"/>
      <c r="IP59" s="179"/>
      <c r="IQ59" s="179"/>
      <c r="IR59" s="179"/>
      <c r="IS59" s="179"/>
      <c r="IT59" s="179"/>
    </row>
    <row r="60" spans="1:255">
      <c r="A60" s="181" t="s">
        <v>609</v>
      </c>
      <c r="B60" s="181">
        <f>D47</f>
        <v>0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  <c r="FL60" s="179"/>
      <c r="FM60" s="179"/>
      <c r="FN60" s="179"/>
      <c r="FO60" s="179"/>
      <c r="FP60" s="179"/>
      <c r="FQ60" s="179"/>
      <c r="FR60" s="179"/>
      <c r="FS60" s="179"/>
      <c r="FT60" s="179"/>
      <c r="FU60" s="179"/>
      <c r="FV60" s="179"/>
      <c r="FW60" s="179"/>
      <c r="FX60" s="179"/>
      <c r="FY60" s="179"/>
      <c r="FZ60" s="179"/>
      <c r="GA60" s="179"/>
      <c r="GB60" s="179"/>
      <c r="GC60" s="179"/>
      <c r="GD60" s="179"/>
      <c r="GE60" s="179"/>
      <c r="GF60" s="179"/>
      <c r="GG60" s="179"/>
      <c r="GH60" s="179"/>
      <c r="GI60" s="179"/>
      <c r="GJ60" s="179"/>
      <c r="GK60" s="179"/>
      <c r="GL60" s="179"/>
      <c r="GM60" s="179"/>
      <c r="GN60" s="179"/>
      <c r="GO60" s="179"/>
      <c r="GP60" s="179"/>
      <c r="GQ60" s="179"/>
      <c r="GR60" s="179"/>
      <c r="GS60" s="179"/>
      <c r="GT60" s="179"/>
      <c r="GU60" s="179"/>
      <c r="GV60" s="179"/>
      <c r="GW60" s="179"/>
      <c r="GX60" s="179"/>
      <c r="GY60" s="179"/>
      <c r="GZ60" s="179"/>
      <c r="HA60" s="179"/>
      <c r="HB60" s="179"/>
      <c r="HC60" s="179"/>
      <c r="HD60" s="179"/>
      <c r="HE60" s="179"/>
      <c r="HF60" s="179"/>
      <c r="HG60" s="179"/>
      <c r="HH60" s="179"/>
      <c r="HI60" s="179"/>
      <c r="HJ60" s="179"/>
      <c r="HK60" s="179"/>
      <c r="HL60" s="179"/>
      <c r="HM60" s="179"/>
      <c r="HN60" s="179"/>
      <c r="HO60" s="179"/>
      <c r="HP60" s="179"/>
      <c r="HQ60" s="179"/>
      <c r="HR60" s="179"/>
      <c r="HS60" s="179"/>
      <c r="HT60" s="179"/>
      <c r="HU60" s="179"/>
      <c r="HV60" s="179"/>
      <c r="HW60" s="179"/>
      <c r="HX60" s="179"/>
      <c r="HY60" s="179"/>
      <c r="HZ60" s="179"/>
      <c r="IA60" s="179"/>
      <c r="IB60" s="179"/>
      <c r="IC60" s="179"/>
      <c r="ID60" s="179"/>
      <c r="IE60" s="179"/>
      <c r="IF60" s="179"/>
      <c r="IG60" s="179"/>
      <c r="IH60" s="179"/>
      <c r="II60" s="179"/>
      <c r="IJ60" s="179"/>
      <c r="IK60" s="179"/>
      <c r="IL60" s="179"/>
      <c r="IM60" s="179"/>
      <c r="IN60" s="179"/>
      <c r="IO60" s="179"/>
      <c r="IP60" s="179"/>
      <c r="IQ60" s="179"/>
      <c r="IR60" s="179"/>
      <c r="IS60" s="179"/>
      <c r="IT60" s="179"/>
    </row>
    <row r="61" spans="1:255">
      <c r="A61" s="181" t="s">
        <v>712</v>
      </c>
      <c r="B61" s="181">
        <v>133585.41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  <c r="FL61" s="179"/>
      <c r="FM61" s="179"/>
      <c r="FN61" s="179"/>
      <c r="FO61" s="179"/>
      <c r="FP61" s="179"/>
      <c r="FQ61" s="179"/>
      <c r="FR61" s="179"/>
      <c r="FS61" s="179"/>
      <c r="FT61" s="179"/>
      <c r="FU61" s="179"/>
      <c r="FV61" s="179"/>
      <c r="FW61" s="179"/>
      <c r="FX61" s="179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  <c r="GI61" s="179"/>
      <c r="GJ61" s="179"/>
      <c r="GK61" s="179"/>
      <c r="GL61" s="179"/>
      <c r="GM61" s="179"/>
      <c r="GN61" s="179"/>
      <c r="GO61" s="179"/>
      <c r="GP61" s="179"/>
      <c r="GQ61" s="179"/>
      <c r="GR61" s="179"/>
      <c r="GS61" s="179"/>
      <c r="GT61" s="179"/>
      <c r="GU61" s="179"/>
      <c r="GV61" s="179"/>
      <c r="GW61" s="179"/>
      <c r="GX61" s="179"/>
      <c r="GY61" s="179"/>
      <c r="GZ61" s="179"/>
      <c r="HA61" s="179"/>
      <c r="HB61" s="179"/>
      <c r="HC61" s="179"/>
      <c r="HD61" s="179"/>
      <c r="HE61" s="179"/>
      <c r="HF61" s="179"/>
      <c r="HG61" s="179"/>
      <c r="HH61" s="179"/>
      <c r="HI61" s="179"/>
      <c r="HJ61" s="179"/>
      <c r="HK61" s="179"/>
      <c r="HL61" s="179"/>
      <c r="HM61" s="179"/>
      <c r="HN61" s="179"/>
      <c r="HO61" s="179"/>
      <c r="HP61" s="179"/>
      <c r="HQ61" s="179"/>
      <c r="HR61" s="179"/>
      <c r="HS61" s="179"/>
      <c r="HT61" s="179"/>
      <c r="HU61" s="179"/>
      <c r="HV61" s="179"/>
      <c r="HW61" s="179"/>
      <c r="HX61" s="179"/>
      <c r="HY61" s="179"/>
      <c r="HZ61" s="179"/>
      <c r="IA61" s="179"/>
      <c r="IB61" s="179"/>
      <c r="IC61" s="179"/>
      <c r="ID61" s="179"/>
      <c r="IE61" s="179"/>
      <c r="IF61" s="179"/>
      <c r="IG61" s="179"/>
      <c r="IH61" s="179"/>
      <c r="II61" s="179"/>
      <c r="IJ61" s="179"/>
      <c r="IK61" s="179"/>
      <c r="IL61" s="179"/>
      <c r="IM61" s="179"/>
      <c r="IN61" s="179"/>
      <c r="IO61" s="179"/>
      <c r="IP61" s="179"/>
      <c r="IQ61" s="179"/>
      <c r="IR61" s="179"/>
      <c r="IS61" s="179"/>
      <c r="IT61" s="179"/>
    </row>
    <row r="62" spans="1:255" ht="29.25" customHeight="1">
      <c r="A62" s="182" t="s">
        <v>662</v>
      </c>
      <c r="B62" s="180">
        <f>B59+B60</f>
        <v>65678.59</v>
      </c>
      <c r="C62" s="192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9"/>
      <c r="GL62" s="179"/>
      <c r="GM62" s="179"/>
      <c r="GN62" s="179"/>
      <c r="GO62" s="179"/>
      <c r="GP62" s="179"/>
      <c r="GQ62" s="179"/>
      <c r="GR62" s="179"/>
      <c r="GS62" s="179"/>
      <c r="GT62" s="179"/>
      <c r="GU62" s="179"/>
      <c r="GV62" s="179"/>
      <c r="GW62" s="179"/>
      <c r="GX62" s="179"/>
      <c r="GY62" s="179"/>
      <c r="GZ62" s="179"/>
      <c r="HA62" s="179"/>
      <c r="HB62" s="179"/>
      <c r="HC62" s="179"/>
      <c r="HD62" s="179"/>
      <c r="HE62" s="179"/>
      <c r="HF62" s="179"/>
      <c r="HG62" s="179"/>
      <c r="HH62" s="179"/>
      <c r="HI62" s="179"/>
      <c r="HJ62" s="179"/>
      <c r="HK62" s="179"/>
      <c r="HL62" s="179"/>
      <c r="HM62" s="179"/>
      <c r="HN62" s="179"/>
      <c r="HO62" s="179"/>
      <c r="HP62" s="179"/>
      <c r="HQ62" s="179"/>
      <c r="HR62" s="179"/>
      <c r="HS62" s="179"/>
      <c r="HT62" s="179"/>
      <c r="HU62" s="179"/>
      <c r="HV62" s="179"/>
      <c r="HW62" s="179"/>
      <c r="HX62" s="179"/>
      <c r="HY62" s="179"/>
      <c r="HZ62" s="179"/>
      <c r="IA62" s="179"/>
      <c r="IB62" s="179"/>
      <c r="IC62" s="179"/>
      <c r="ID62" s="179"/>
      <c r="IE62" s="179"/>
      <c r="IF62" s="179"/>
      <c r="IG62" s="179"/>
      <c r="IH62" s="179"/>
      <c r="II62" s="179"/>
      <c r="IJ62" s="179"/>
      <c r="IK62" s="179"/>
      <c r="IL62" s="179"/>
      <c r="IM62" s="179"/>
      <c r="IN62" s="179"/>
      <c r="IO62" s="179"/>
      <c r="IP62" s="179"/>
      <c r="IQ62" s="179"/>
      <c r="IR62" s="179"/>
      <c r="IS62" s="179"/>
      <c r="IT62" s="179"/>
    </row>
    <row r="63" spans="1:25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179"/>
      <c r="FP63" s="179"/>
      <c r="FQ63" s="179"/>
      <c r="FR63" s="179"/>
      <c r="FS63" s="179"/>
      <c r="FT63" s="179"/>
      <c r="FU63" s="179"/>
      <c r="FV63" s="179"/>
      <c r="FW63" s="179"/>
      <c r="FX63" s="179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  <c r="GI63" s="179"/>
      <c r="GJ63" s="179"/>
      <c r="GK63" s="179"/>
      <c r="GL63" s="179"/>
      <c r="GM63" s="179"/>
      <c r="GN63" s="179"/>
      <c r="GO63" s="179"/>
      <c r="GP63" s="179"/>
      <c r="GQ63" s="179"/>
      <c r="GR63" s="179"/>
      <c r="GS63" s="179"/>
      <c r="GT63" s="179"/>
      <c r="GU63" s="179"/>
      <c r="GV63" s="179"/>
      <c r="GW63" s="179"/>
      <c r="GX63" s="179"/>
      <c r="GY63" s="179"/>
      <c r="GZ63" s="179"/>
      <c r="HA63" s="179"/>
      <c r="HB63" s="179"/>
      <c r="HC63" s="179"/>
      <c r="HD63" s="179"/>
      <c r="HE63" s="179"/>
      <c r="HF63" s="179"/>
      <c r="HG63" s="179"/>
      <c r="HH63" s="179"/>
      <c r="HI63" s="179"/>
      <c r="HJ63" s="179"/>
      <c r="HK63" s="179"/>
      <c r="HL63" s="179"/>
      <c r="HM63" s="179"/>
      <c r="HN63" s="179"/>
      <c r="HO63" s="179"/>
      <c r="HP63" s="179"/>
      <c r="HQ63" s="179"/>
      <c r="HR63" s="179"/>
      <c r="HS63" s="179"/>
      <c r="HT63" s="179"/>
      <c r="HU63" s="179"/>
      <c r="HV63" s="179"/>
      <c r="HW63" s="179"/>
      <c r="HX63" s="179"/>
      <c r="HY63" s="179"/>
      <c r="HZ63" s="179"/>
      <c r="IA63" s="179"/>
      <c r="IB63" s="179"/>
      <c r="IC63" s="179"/>
      <c r="ID63" s="179"/>
      <c r="IE63" s="179"/>
      <c r="IF63" s="179"/>
      <c r="IG63" s="179"/>
      <c r="IH63" s="179"/>
      <c r="II63" s="179"/>
      <c r="IJ63" s="179"/>
      <c r="IK63" s="179"/>
      <c r="IL63" s="179"/>
      <c r="IM63" s="179"/>
      <c r="IN63" s="179"/>
      <c r="IO63" s="179"/>
      <c r="IP63" s="179"/>
      <c r="IQ63" s="179"/>
      <c r="IR63" s="179"/>
      <c r="IS63" s="179"/>
      <c r="IT63" s="179"/>
    </row>
    <row r="64" spans="1:255">
      <c r="A64" s="180" t="s">
        <v>663</v>
      </c>
      <c r="B64" s="198">
        <f>B66+B67+B68+B69+B70+B72+B73</f>
        <v>171303.89199999999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  <c r="GI64" s="179"/>
      <c r="GJ64" s="179"/>
      <c r="GK64" s="179"/>
      <c r="GL64" s="179"/>
      <c r="GM64" s="179"/>
      <c r="GN64" s="179"/>
      <c r="GO64" s="179"/>
      <c r="GP64" s="179"/>
      <c r="GQ64" s="179"/>
      <c r="GR64" s="179"/>
      <c r="GS64" s="179"/>
      <c r="GT64" s="179"/>
      <c r="GU64" s="179"/>
      <c r="GV64" s="179"/>
      <c r="GW64" s="179"/>
      <c r="GX64" s="179"/>
      <c r="GY64" s="179"/>
      <c r="GZ64" s="179"/>
      <c r="HA64" s="179"/>
      <c r="HB64" s="179"/>
      <c r="HC64" s="179"/>
      <c r="HD64" s="179"/>
      <c r="HE64" s="179"/>
      <c r="HF64" s="179"/>
      <c r="HG64" s="179"/>
      <c r="HH64" s="179"/>
      <c r="HI64" s="179"/>
      <c r="HJ64" s="179"/>
      <c r="HK64" s="179"/>
      <c r="HL64" s="179"/>
      <c r="HM64" s="179"/>
      <c r="HN64" s="179"/>
      <c r="HO64" s="179"/>
      <c r="HP64" s="179"/>
      <c r="HQ64" s="179"/>
      <c r="HR64" s="179"/>
      <c r="HS64" s="179"/>
      <c r="HT64" s="179"/>
      <c r="HU64" s="179"/>
      <c r="HV64" s="179"/>
      <c r="HW64" s="179"/>
      <c r="HX64" s="179"/>
      <c r="HY64" s="179"/>
      <c r="HZ64" s="179"/>
      <c r="IA64" s="179"/>
      <c r="IB64" s="179"/>
      <c r="IC64" s="179"/>
      <c r="ID64" s="179"/>
      <c r="IE64" s="179"/>
      <c r="IF64" s="179"/>
      <c r="IG64" s="179"/>
      <c r="IH64" s="179"/>
      <c r="II64" s="179"/>
      <c r="IJ64" s="179"/>
      <c r="IK64" s="179"/>
      <c r="IL64" s="179"/>
      <c r="IM64" s="179"/>
      <c r="IN64" s="179"/>
      <c r="IO64" s="179"/>
      <c r="IP64" s="179"/>
      <c r="IQ64" s="179"/>
      <c r="IR64" s="179"/>
      <c r="IS64" s="179"/>
      <c r="IT64" s="179"/>
    </row>
    <row r="65" spans="1:254">
      <c r="A65" s="181" t="s">
        <v>599</v>
      </c>
      <c r="B65" s="213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9"/>
      <c r="GL65" s="179"/>
      <c r="GM65" s="179"/>
      <c r="GN65" s="179"/>
      <c r="GO65" s="179"/>
      <c r="GP65" s="179"/>
      <c r="GQ65" s="179"/>
      <c r="GR65" s="179"/>
      <c r="GS65" s="179"/>
      <c r="GT65" s="179"/>
      <c r="GU65" s="179"/>
      <c r="GV65" s="179"/>
      <c r="GW65" s="179"/>
      <c r="GX65" s="179"/>
      <c r="GY65" s="179"/>
      <c r="GZ65" s="179"/>
      <c r="HA65" s="179"/>
      <c r="HB65" s="179"/>
      <c r="HC65" s="179"/>
      <c r="HD65" s="179"/>
      <c r="HE65" s="179"/>
      <c r="HF65" s="179"/>
      <c r="HG65" s="179"/>
      <c r="HH65" s="179"/>
      <c r="HI65" s="179"/>
      <c r="HJ65" s="179"/>
      <c r="HK65" s="179"/>
      <c r="HL65" s="179"/>
      <c r="HM65" s="179"/>
      <c r="HN65" s="179"/>
      <c r="HO65" s="179"/>
      <c r="HP65" s="179"/>
      <c r="HQ65" s="179"/>
      <c r="HR65" s="179"/>
      <c r="HS65" s="179"/>
      <c r="HT65" s="179"/>
      <c r="HU65" s="179"/>
      <c r="HV65" s="179"/>
      <c r="HW65" s="179"/>
      <c r="HX65" s="179"/>
      <c r="HY65" s="179"/>
      <c r="HZ65" s="179"/>
      <c r="IA65" s="179"/>
      <c r="IB65" s="179"/>
      <c r="IC65" s="179"/>
      <c r="ID65" s="179"/>
      <c r="IE65" s="179"/>
      <c r="IF65" s="179"/>
      <c r="IG65" s="179"/>
      <c r="IH65" s="179"/>
      <c r="II65" s="179"/>
      <c r="IJ65" s="179"/>
      <c r="IK65" s="179"/>
      <c r="IL65" s="179"/>
      <c r="IM65" s="179"/>
      <c r="IN65" s="179"/>
      <c r="IO65" s="179"/>
      <c r="IP65" s="179"/>
      <c r="IQ65" s="179"/>
      <c r="IR65" s="179"/>
      <c r="IS65" s="179"/>
      <c r="IT65" s="179"/>
    </row>
    <row r="66" spans="1:254">
      <c r="A66" s="181" t="s">
        <v>521</v>
      </c>
      <c r="B66" s="194">
        <f>2.03*B55*4*1.16</f>
        <v>24489.919999999995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9"/>
      <c r="GL66" s="179"/>
      <c r="GM66" s="179"/>
      <c r="GN66" s="179"/>
      <c r="GO66" s="179"/>
      <c r="GP66" s="179"/>
      <c r="GQ66" s="179"/>
      <c r="GR66" s="179"/>
      <c r="GS66" s="179"/>
      <c r="GT66" s="179"/>
      <c r="GU66" s="179"/>
      <c r="GV66" s="179"/>
      <c r="GW66" s="179"/>
      <c r="GX66" s="179"/>
      <c r="GY66" s="179"/>
      <c r="GZ66" s="179"/>
      <c r="HA66" s="179"/>
      <c r="HB66" s="179"/>
      <c r="HC66" s="179"/>
      <c r="HD66" s="179"/>
      <c r="HE66" s="179"/>
      <c r="HF66" s="179"/>
      <c r="HG66" s="179"/>
      <c r="HH66" s="179"/>
      <c r="HI66" s="179"/>
      <c r="HJ66" s="179"/>
      <c r="HK66" s="179"/>
      <c r="HL66" s="179"/>
      <c r="HM66" s="179"/>
      <c r="HN66" s="179"/>
      <c r="HO66" s="179"/>
      <c r="HP66" s="179"/>
      <c r="HQ66" s="179"/>
      <c r="HR66" s="179"/>
      <c r="HS66" s="179"/>
      <c r="HT66" s="179"/>
      <c r="HU66" s="179"/>
      <c r="HV66" s="179"/>
      <c r="HW66" s="179"/>
      <c r="HX66" s="179"/>
      <c r="HY66" s="179"/>
      <c r="HZ66" s="179"/>
      <c r="IA66" s="179"/>
      <c r="IB66" s="179"/>
      <c r="IC66" s="179"/>
      <c r="ID66" s="179"/>
      <c r="IE66" s="179"/>
      <c r="IF66" s="179"/>
      <c r="IG66" s="179"/>
      <c r="IH66" s="179"/>
      <c r="II66" s="179"/>
      <c r="IJ66" s="179"/>
      <c r="IK66" s="179"/>
      <c r="IL66" s="179"/>
      <c r="IM66" s="179"/>
      <c r="IN66" s="179"/>
      <c r="IO66" s="179"/>
      <c r="IP66" s="179"/>
      <c r="IQ66" s="179"/>
      <c r="IR66" s="179"/>
      <c r="IS66" s="179"/>
      <c r="IT66" s="179"/>
    </row>
    <row r="67" spans="1:254">
      <c r="A67" s="181" t="s">
        <v>520</v>
      </c>
      <c r="B67" s="194">
        <f>0.87*4*B55*1.2</f>
        <v>10857.6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79"/>
      <c r="GD67" s="179"/>
      <c r="GE67" s="179"/>
      <c r="GF67" s="179"/>
      <c r="GG67" s="179"/>
      <c r="GH67" s="179"/>
      <c r="GI67" s="179"/>
      <c r="GJ67" s="179"/>
      <c r="GK67" s="179"/>
      <c r="GL67" s="179"/>
      <c r="GM67" s="179"/>
      <c r="GN67" s="179"/>
      <c r="GO67" s="179"/>
      <c r="GP67" s="179"/>
      <c r="GQ67" s="179"/>
      <c r="GR67" s="179"/>
      <c r="GS67" s="179"/>
      <c r="GT67" s="179"/>
      <c r="GU67" s="179"/>
      <c r="GV67" s="179"/>
      <c r="GW67" s="179"/>
      <c r="GX67" s="179"/>
      <c r="GY67" s="179"/>
      <c r="GZ67" s="179"/>
      <c r="HA67" s="179"/>
      <c r="HB67" s="179"/>
      <c r="HC67" s="179"/>
      <c r="HD67" s="179"/>
      <c r="HE67" s="179"/>
      <c r="HF67" s="179"/>
      <c r="HG67" s="179"/>
      <c r="HH67" s="179"/>
      <c r="HI67" s="179"/>
      <c r="HJ67" s="179"/>
      <c r="HK67" s="179"/>
      <c r="HL67" s="179"/>
      <c r="HM67" s="179"/>
      <c r="HN67" s="179"/>
      <c r="HO67" s="179"/>
      <c r="HP67" s="179"/>
      <c r="HQ67" s="179"/>
      <c r="HR67" s="179"/>
      <c r="HS67" s="179"/>
      <c r="HT67" s="179"/>
      <c r="HU67" s="179"/>
      <c r="HV67" s="179"/>
      <c r="HW67" s="179"/>
      <c r="HX67" s="179"/>
      <c r="HY67" s="179"/>
      <c r="HZ67" s="179"/>
      <c r="IA67" s="179"/>
      <c r="IB67" s="179"/>
      <c r="IC67" s="179"/>
      <c r="ID67" s="179"/>
      <c r="IE67" s="179"/>
      <c r="IF67" s="179"/>
      <c r="IG67" s="179"/>
      <c r="IH67" s="179"/>
      <c r="II67" s="179"/>
      <c r="IJ67" s="179"/>
      <c r="IK67" s="179"/>
      <c r="IL67" s="179"/>
      <c r="IM67" s="179"/>
      <c r="IN67" s="179"/>
      <c r="IO67" s="179"/>
      <c r="IP67" s="179"/>
      <c r="IQ67" s="179"/>
      <c r="IR67" s="179"/>
      <c r="IS67" s="179"/>
      <c r="IT67" s="179"/>
    </row>
    <row r="68" spans="1:254">
      <c r="A68" s="181" t="s">
        <v>519</v>
      </c>
      <c r="B68" s="194">
        <f>4.6*B55*4</f>
        <v>47839.999999999993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79"/>
      <c r="FK68" s="179"/>
      <c r="FL68" s="179"/>
      <c r="FM68" s="179"/>
      <c r="FN68" s="179"/>
      <c r="FO68" s="179"/>
      <c r="FP68" s="179"/>
      <c r="FQ68" s="179"/>
      <c r="FR68" s="179"/>
      <c r="FS68" s="179"/>
      <c r="FT68" s="179"/>
      <c r="FU68" s="179"/>
      <c r="FV68" s="179"/>
      <c r="FW68" s="179"/>
      <c r="FX68" s="179"/>
      <c r="FY68" s="179"/>
      <c r="FZ68" s="179"/>
      <c r="GA68" s="179"/>
      <c r="GB68" s="179"/>
      <c r="GC68" s="179"/>
      <c r="GD68" s="179"/>
      <c r="GE68" s="179"/>
      <c r="GF68" s="179"/>
      <c r="GG68" s="179"/>
      <c r="GH68" s="179"/>
      <c r="GI68" s="179"/>
      <c r="GJ68" s="179"/>
      <c r="GK68" s="179"/>
      <c r="GL68" s="179"/>
      <c r="GM68" s="179"/>
      <c r="GN68" s="179"/>
      <c r="GO68" s="179"/>
      <c r="GP68" s="179"/>
      <c r="GQ68" s="179"/>
      <c r="GR68" s="179"/>
      <c r="GS68" s="179"/>
      <c r="GT68" s="179"/>
      <c r="GU68" s="179"/>
      <c r="GV68" s="179"/>
      <c r="GW68" s="179"/>
      <c r="GX68" s="179"/>
      <c r="GY68" s="179"/>
      <c r="GZ68" s="179"/>
      <c r="HA68" s="179"/>
      <c r="HB68" s="179"/>
      <c r="HC68" s="179"/>
      <c r="HD68" s="179"/>
      <c r="HE68" s="179"/>
      <c r="HF68" s="179"/>
      <c r="HG68" s="179"/>
      <c r="HH68" s="179"/>
      <c r="HI68" s="179"/>
      <c r="HJ68" s="179"/>
      <c r="HK68" s="179"/>
      <c r="HL68" s="179"/>
      <c r="HM68" s="179"/>
      <c r="HN68" s="179"/>
      <c r="HO68" s="179"/>
      <c r="HP68" s="179"/>
      <c r="HQ68" s="179"/>
      <c r="HR68" s="179"/>
      <c r="HS68" s="179"/>
      <c r="HT68" s="179"/>
      <c r="HU68" s="179"/>
      <c r="HV68" s="179"/>
      <c r="HW68" s="179"/>
      <c r="HX68" s="179"/>
      <c r="HY68" s="179"/>
      <c r="HZ68" s="179"/>
      <c r="IA68" s="179"/>
      <c r="IB68" s="179"/>
      <c r="IC68" s="179"/>
      <c r="ID68" s="179"/>
      <c r="IE68" s="179"/>
      <c r="IF68" s="179"/>
      <c r="IG68" s="179"/>
      <c r="IH68" s="179"/>
      <c r="II68" s="179"/>
      <c r="IJ68" s="179"/>
      <c r="IK68" s="179"/>
      <c r="IL68" s="179"/>
      <c r="IM68" s="179"/>
      <c r="IN68" s="179"/>
      <c r="IO68" s="179"/>
      <c r="IP68" s="179"/>
      <c r="IQ68" s="179"/>
      <c r="IR68" s="179"/>
      <c r="IS68" s="179"/>
      <c r="IT68" s="179"/>
    </row>
    <row r="69" spans="1:254">
      <c r="A69" s="181" t="s">
        <v>600</v>
      </c>
      <c r="B69" s="194">
        <f>40*120</f>
        <v>4800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9"/>
      <c r="FI69" s="179"/>
      <c r="FJ69" s="179"/>
      <c r="FK69" s="179"/>
      <c r="FL69" s="179"/>
      <c r="FM69" s="179"/>
      <c r="FN69" s="179"/>
      <c r="FO69" s="179"/>
      <c r="FP69" s="179"/>
      <c r="FQ69" s="179"/>
      <c r="FR69" s="179"/>
      <c r="FS69" s="179"/>
      <c r="FT69" s="179"/>
      <c r="FU69" s="179"/>
      <c r="FV69" s="179"/>
      <c r="FW69" s="179"/>
      <c r="FX69" s="179"/>
      <c r="FY69" s="179"/>
      <c r="FZ69" s="179"/>
      <c r="GA69" s="179"/>
      <c r="GB69" s="179"/>
      <c r="GC69" s="179"/>
      <c r="GD69" s="179"/>
      <c r="GE69" s="179"/>
      <c r="GF69" s="179"/>
      <c r="GG69" s="179"/>
      <c r="GH69" s="179"/>
      <c r="GI69" s="179"/>
      <c r="GJ69" s="179"/>
      <c r="GK69" s="179"/>
      <c r="GL69" s="179"/>
      <c r="GM69" s="179"/>
      <c r="GN69" s="179"/>
      <c r="GO69" s="179"/>
      <c r="GP69" s="179"/>
      <c r="GQ69" s="179"/>
      <c r="GR69" s="179"/>
      <c r="GS69" s="179"/>
      <c r="GT69" s="179"/>
      <c r="GU69" s="179"/>
      <c r="GV69" s="179"/>
      <c r="GW69" s="179"/>
      <c r="GX69" s="179"/>
      <c r="GY69" s="179"/>
      <c r="GZ69" s="179"/>
      <c r="HA69" s="179"/>
      <c r="HB69" s="179"/>
      <c r="HC69" s="179"/>
      <c r="HD69" s="179"/>
      <c r="HE69" s="179"/>
      <c r="HF69" s="179"/>
      <c r="HG69" s="179"/>
      <c r="HH69" s="179"/>
      <c r="HI69" s="179"/>
      <c r="HJ69" s="179"/>
      <c r="HK69" s="179"/>
      <c r="HL69" s="179"/>
      <c r="HM69" s="179"/>
      <c r="HN69" s="179"/>
      <c r="HO69" s="179"/>
      <c r="HP69" s="179"/>
      <c r="HQ69" s="179"/>
      <c r="HR69" s="179"/>
      <c r="HS69" s="179"/>
      <c r="HT69" s="179"/>
      <c r="HU69" s="179"/>
      <c r="HV69" s="179"/>
      <c r="HW69" s="179"/>
      <c r="HX69" s="179"/>
      <c r="HY69" s="179"/>
      <c r="HZ69" s="179"/>
      <c r="IA69" s="179"/>
      <c r="IB69" s="179"/>
      <c r="IC69" s="179"/>
      <c r="ID69" s="179"/>
      <c r="IE69" s="179"/>
      <c r="IF69" s="179"/>
      <c r="IG69" s="179"/>
      <c r="IH69" s="179"/>
      <c r="II69" s="179"/>
      <c r="IJ69" s="179"/>
      <c r="IK69" s="179"/>
      <c r="IL69" s="179"/>
      <c r="IM69" s="179"/>
      <c r="IN69" s="179"/>
      <c r="IO69" s="179"/>
      <c r="IP69" s="179"/>
      <c r="IQ69" s="179"/>
      <c r="IR69" s="179"/>
      <c r="IS69" s="179"/>
      <c r="IT69" s="179"/>
    </row>
    <row r="70" spans="1:254">
      <c r="A70" s="181" t="s">
        <v>601</v>
      </c>
      <c r="B70" s="194">
        <f>1*9100*4*1.302*1.13</f>
        <v>53553.864000000001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79"/>
      <c r="EM70" s="179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79"/>
      <c r="FB70" s="179"/>
      <c r="FC70" s="179"/>
      <c r="FD70" s="179"/>
      <c r="FE70" s="179"/>
      <c r="FF70" s="179"/>
      <c r="FG70" s="179"/>
      <c r="FH70" s="179"/>
      <c r="FI70" s="179"/>
      <c r="FJ70" s="179"/>
      <c r="FK70" s="179"/>
      <c r="FL70" s="179"/>
      <c r="FM70" s="179"/>
      <c r="FN70" s="179"/>
      <c r="FO70" s="179"/>
      <c r="FP70" s="179"/>
      <c r="FQ70" s="179"/>
      <c r="FR70" s="179"/>
      <c r="FS70" s="179"/>
      <c r="FT70" s="179"/>
      <c r="FU70" s="179"/>
      <c r="FV70" s="179"/>
      <c r="FW70" s="179"/>
      <c r="FX70" s="179"/>
      <c r="FY70" s="179"/>
      <c r="FZ70" s="179"/>
      <c r="GA70" s="179"/>
      <c r="GB70" s="179"/>
      <c r="GC70" s="179"/>
      <c r="GD70" s="179"/>
      <c r="GE70" s="179"/>
      <c r="GF70" s="179"/>
      <c r="GG70" s="179"/>
      <c r="GH70" s="179"/>
      <c r="GI70" s="179"/>
      <c r="GJ70" s="179"/>
      <c r="GK70" s="179"/>
      <c r="GL70" s="179"/>
      <c r="GM70" s="179"/>
      <c r="GN70" s="179"/>
      <c r="GO70" s="179"/>
      <c r="GP70" s="179"/>
      <c r="GQ70" s="179"/>
      <c r="GR70" s="179"/>
      <c r="GS70" s="179"/>
      <c r="GT70" s="179"/>
      <c r="GU70" s="179"/>
      <c r="GV70" s="179"/>
      <c r="GW70" s="179"/>
      <c r="GX70" s="179"/>
      <c r="GY70" s="179"/>
      <c r="GZ70" s="179"/>
      <c r="HA70" s="179"/>
      <c r="HB70" s="179"/>
      <c r="HC70" s="179"/>
      <c r="HD70" s="179"/>
      <c r="HE70" s="179"/>
      <c r="HF70" s="179"/>
      <c r="HG70" s="179"/>
      <c r="HH70" s="179"/>
      <c r="HI70" s="179"/>
      <c r="HJ70" s="179"/>
      <c r="HK70" s="179"/>
      <c r="HL70" s="179"/>
      <c r="HM70" s="179"/>
      <c r="HN70" s="179"/>
      <c r="HO70" s="179"/>
      <c r="HP70" s="179"/>
      <c r="HQ70" s="179"/>
      <c r="HR70" s="179"/>
      <c r="HS70" s="179"/>
      <c r="HT70" s="179"/>
      <c r="HU70" s="179"/>
      <c r="HV70" s="179"/>
      <c r="HW70" s="179"/>
      <c r="HX70" s="179"/>
      <c r="HY70" s="179"/>
      <c r="HZ70" s="179"/>
      <c r="IA70" s="179"/>
      <c r="IB70" s="179"/>
      <c r="IC70" s="179"/>
      <c r="ID70" s="179"/>
      <c r="IE70" s="179"/>
      <c r="IF70" s="179"/>
      <c r="IG70" s="179"/>
      <c r="IH70" s="179"/>
      <c r="II70" s="179"/>
      <c r="IJ70" s="179"/>
      <c r="IK70" s="179"/>
      <c r="IL70" s="179"/>
      <c r="IM70" s="179"/>
      <c r="IN70" s="179"/>
      <c r="IO70" s="179"/>
      <c r="IP70" s="179"/>
      <c r="IQ70" s="179"/>
      <c r="IR70" s="179"/>
      <c r="IS70" s="179"/>
      <c r="IT70" s="179"/>
    </row>
    <row r="71" spans="1:254">
      <c r="A71" s="181" t="s">
        <v>602</v>
      </c>
      <c r="B71" s="194">
        <f>C51</f>
        <v>131.5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79"/>
      <c r="FK71" s="179"/>
      <c r="FL71" s="179"/>
      <c r="FM71" s="179"/>
      <c r="FN71" s="179"/>
      <c r="FO71" s="179"/>
      <c r="FP71" s="179"/>
      <c r="FQ71" s="179"/>
      <c r="FR71" s="179"/>
      <c r="FS71" s="179"/>
      <c r="FT71" s="179"/>
      <c r="FU71" s="179"/>
      <c r="FV71" s="179"/>
      <c r="FW71" s="179"/>
      <c r="FX71" s="179"/>
      <c r="FY71" s="179"/>
      <c r="FZ71" s="179"/>
      <c r="GA71" s="179"/>
      <c r="GB71" s="179"/>
      <c r="GC71" s="179"/>
      <c r="GD71" s="179"/>
      <c r="GE71" s="179"/>
      <c r="GF71" s="179"/>
      <c r="GG71" s="179"/>
      <c r="GH71" s="179"/>
      <c r="GI71" s="179"/>
      <c r="GJ71" s="179"/>
      <c r="GK71" s="179"/>
      <c r="GL71" s="179"/>
      <c r="GM71" s="179"/>
      <c r="GN71" s="179"/>
      <c r="GO71" s="179"/>
      <c r="GP71" s="179"/>
      <c r="GQ71" s="179"/>
      <c r="GR71" s="179"/>
      <c r="GS71" s="179"/>
      <c r="GT71" s="179"/>
      <c r="GU71" s="179"/>
      <c r="GV71" s="179"/>
      <c r="GW71" s="179"/>
      <c r="GX71" s="179"/>
      <c r="GY71" s="179"/>
      <c r="GZ71" s="179"/>
      <c r="HA71" s="179"/>
      <c r="HB71" s="179"/>
      <c r="HC71" s="179"/>
      <c r="HD71" s="179"/>
      <c r="HE71" s="179"/>
      <c r="HF71" s="179"/>
      <c r="HG71" s="179"/>
      <c r="HH71" s="179"/>
      <c r="HI71" s="179"/>
      <c r="HJ71" s="179"/>
      <c r="HK71" s="179"/>
      <c r="HL71" s="179"/>
      <c r="HM71" s="179"/>
      <c r="HN71" s="179"/>
      <c r="HO71" s="179"/>
      <c r="HP71" s="179"/>
      <c r="HQ71" s="179"/>
      <c r="HR71" s="179"/>
      <c r="HS71" s="179"/>
      <c r="HT71" s="179"/>
      <c r="HU71" s="179"/>
      <c r="HV71" s="179"/>
      <c r="HW71" s="179"/>
      <c r="HX71" s="179"/>
      <c r="HY71" s="179"/>
      <c r="HZ71" s="179"/>
      <c r="IA71" s="179"/>
      <c r="IB71" s="179"/>
      <c r="IC71" s="179"/>
      <c r="ID71" s="179"/>
      <c r="IE71" s="179"/>
      <c r="IF71" s="179"/>
      <c r="IG71" s="179"/>
      <c r="IH71" s="179"/>
      <c r="II71" s="179"/>
      <c r="IJ71" s="179"/>
      <c r="IK71" s="179"/>
      <c r="IL71" s="179"/>
      <c r="IM71" s="179"/>
      <c r="IN71" s="179"/>
      <c r="IO71" s="179"/>
      <c r="IP71" s="179"/>
      <c r="IQ71" s="179"/>
      <c r="IR71" s="179"/>
      <c r="IS71" s="179"/>
      <c r="IT71" s="179"/>
    </row>
    <row r="72" spans="1:254">
      <c r="A72" s="181" t="s">
        <v>603</v>
      </c>
      <c r="B72" s="194">
        <f>B71*130*1.302*1.2</f>
        <v>26709.228000000003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79"/>
      <c r="FK72" s="179"/>
      <c r="FL72" s="179"/>
      <c r="FM72" s="179"/>
      <c r="FN72" s="179"/>
      <c r="FO72" s="179"/>
      <c r="FP72" s="179"/>
      <c r="FQ72" s="179"/>
      <c r="FR72" s="179"/>
      <c r="FS72" s="179"/>
      <c r="FT72" s="179"/>
      <c r="FU72" s="179"/>
      <c r="FV72" s="179"/>
      <c r="FW72" s="179"/>
      <c r="FX72" s="179"/>
      <c r="FY72" s="179"/>
      <c r="FZ72" s="179"/>
      <c r="GA72" s="179"/>
      <c r="GB72" s="179"/>
      <c r="GC72" s="179"/>
      <c r="GD72" s="179"/>
      <c r="GE72" s="179"/>
      <c r="GF72" s="179"/>
      <c r="GG72" s="179"/>
      <c r="GH72" s="179"/>
      <c r="GI72" s="179"/>
      <c r="GJ72" s="179"/>
      <c r="GK72" s="179"/>
      <c r="GL72" s="179"/>
      <c r="GM72" s="179"/>
      <c r="GN72" s="179"/>
      <c r="GO72" s="179"/>
      <c r="GP72" s="179"/>
      <c r="GQ72" s="179"/>
      <c r="GR72" s="179"/>
      <c r="GS72" s="179"/>
      <c r="GT72" s="179"/>
      <c r="GU72" s="179"/>
      <c r="GV72" s="179"/>
      <c r="GW72" s="179"/>
      <c r="GX72" s="179"/>
      <c r="GY72" s="179"/>
      <c r="GZ72" s="179"/>
      <c r="HA72" s="179"/>
      <c r="HB72" s="179"/>
      <c r="HC72" s="179"/>
      <c r="HD72" s="179"/>
      <c r="HE72" s="179"/>
      <c r="HF72" s="179"/>
      <c r="HG72" s="179"/>
      <c r="HH72" s="179"/>
      <c r="HI72" s="179"/>
      <c r="HJ72" s="179"/>
      <c r="HK72" s="179"/>
      <c r="HL72" s="179"/>
      <c r="HM72" s="179"/>
      <c r="HN72" s="179"/>
      <c r="HO72" s="179"/>
      <c r="HP72" s="179"/>
      <c r="HQ72" s="179"/>
      <c r="HR72" s="179"/>
      <c r="HS72" s="179"/>
      <c r="HT72" s="179"/>
      <c r="HU72" s="179"/>
      <c r="HV72" s="179"/>
      <c r="HW72" s="179"/>
      <c r="HX72" s="179"/>
      <c r="HY72" s="179"/>
      <c r="HZ72" s="179"/>
      <c r="IA72" s="179"/>
      <c r="IB72" s="179"/>
      <c r="IC72" s="179"/>
      <c r="ID72" s="179"/>
      <c r="IE72" s="179"/>
      <c r="IF72" s="179"/>
      <c r="IG72" s="179"/>
      <c r="IH72" s="179"/>
      <c r="II72" s="179"/>
      <c r="IJ72" s="179"/>
      <c r="IK72" s="179"/>
      <c r="IL72" s="179"/>
      <c r="IM72" s="179"/>
      <c r="IN72" s="179"/>
      <c r="IO72" s="179"/>
      <c r="IP72" s="179"/>
      <c r="IQ72" s="179"/>
      <c r="IR72" s="179"/>
      <c r="IS72" s="179"/>
      <c r="IT72" s="179"/>
    </row>
    <row r="73" spans="1:254">
      <c r="A73" s="181" t="s">
        <v>604</v>
      </c>
      <c r="B73" s="194">
        <v>3053.28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  <c r="FH73" s="179"/>
      <c r="FI73" s="179"/>
      <c r="FJ73" s="179"/>
      <c r="FK73" s="179"/>
      <c r="FL73" s="179"/>
      <c r="FM73" s="179"/>
      <c r="FN73" s="179"/>
      <c r="FO73" s="179"/>
      <c r="FP73" s="179"/>
      <c r="FQ73" s="179"/>
      <c r="FR73" s="179"/>
      <c r="FS73" s="179"/>
      <c r="FT73" s="179"/>
      <c r="FU73" s="179"/>
      <c r="FV73" s="179"/>
      <c r="FW73" s="179"/>
      <c r="FX73" s="179"/>
      <c r="FY73" s="179"/>
      <c r="FZ73" s="179"/>
      <c r="GA73" s="179"/>
      <c r="GB73" s="179"/>
      <c r="GC73" s="179"/>
      <c r="GD73" s="179"/>
      <c r="GE73" s="179"/>
      <c r="GF73" s="179"/>
      <c r="GG73" s="179"/>
      <c r="GH73" s="179"/>
      <c r="GI73" s="179"/>
      <c r="GJ73" s="179"/>
      <c r="GK73" s="179"/>
      <c r="GL73" s="179"/>
      <c r="GM73" s="179"/>
      <c r="GN73" s="179"/>
      <c r="GO73" s="179"/>
      <c r="GP73" s="179"/>
      <c r="GQ73" s="179"/>
      <c r="GR73" s="179"/>
      <c r="GS73" s="179"/>
      <c r="GT73" s="179"/>
      <c r="GU73" s="179"/>
      <c r="GV73" s="179"/>
      <c r="GW73" s="179"/>
      <c r="GX73" s="179"/>
      <c r="GY73" s="179"/>
      <c r="GZ73" s="179"/>
      <c r="HA73" s="179"/>
      <c r="HB73" s="179"/>
      <c r="HC73" s="179"/>
      <c r="HD73" s="179"/>
      <c r="HE73" s="179"/>
      <c r="HF73" s="179"/>
      <c r="HG73" s="179"/>
      <c r="HH73" s="179"/>
      <c r="HI73" s="179"/>
      <c r="HJ73" s="179"/>
      <c r="HK73" s="179"/>
      <c r="HL73" s="179"/>
      <c r="HM73" s="179"/>
      <c r="HN73" s="179"/>
      <c r="HO73" s="179"/>
      <c r="HP73" s="179"/>
      <c r="HQ73" s="179"/>
      <c r="HR73" s="179"/>
      <c r="HS73" s="179"/>
      <c r="HT73" s="179"/>
      <c r="HU73" s="179"/>
      <c r="HV73" s="179"/>
      <c r="HW73" s="179"/>
      <c r="HX73" s="179"/>
      <c r="HY73" s="179"/>
      <c r="HZ73" s="179"/>
      <c r="IA73" s="179"/>
      <c r="IB73" s="179"/>
      <c r="IC73" s="179"/>
      <c r="ID73" s="179"/>
      <c r="IE73" s="179"/>
      <c r="IF73" s="179"/>
      <c r="IG73" s="179"/>
      <c r="IH73" s="179"/>
      <c r="II73" s="179"/>
      <c r="IJ73" s="179"/>
      <c r="IK73" s="179"/>
      <c r="IL73" s="179"/>
      <c r="IM73" s="179"/>
      <c r="IN73" s="179"/>
      <c r="IO73" s="179"/>
      <c r="IP73" s="179"/>
      <c r="IQ73" s="179"/>
      <c r="IR73" s="179"/>
      <c r="IS73" s="179"/>
      <c r="IT73" s="179"/>
    </row>
    <row r="74" spans="1:254">
      <c r="A74" s="181" t="s">
        <v>620</v>
      </c>
      <c r="B74" s="194">
        <f>B62-B64</f>
        <v>-105625.302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9"/>
      <c r="GL74" s="179"/>
      <c r="GM74" s="179"/>
      <c r="GN74" s="179"/>
      <c r="GO74" s="179"/>
      <c r="GP74" s="179"/>
      <c r="GQ74" s="179"/>
      <c r="GR74" s="179"/>
      <c r="GS74" s="179"/>
      <c r="GT74" s="179"/>
      <c r="GU74" s="179"/>
      <c r="GV74" s="179"/>
      <c r="GW74" s="179"/>
      <c r="GX74" s="179"/>
      <c r="GY74" s="179"/>
      <c r="GZ74" s="179"/>
      <c r="HA74" s="179"/>
      <c r="HB74" s="179"/>
      <c r="HC74" s="179"/>
      <c r="HD74" s="179"/>
      <c r="HE74" s="179"/>
      <c r="HF74" s="179"/>
      <c r="HG74" s="179"/>
      <c r="HH74" s="179"/>
      <c r="HI74" s="179"/>
      <c r="HJ74" s="179"/>
      <c r="HK74" s="179"/>
      <c r="HL74" s="179"/>
      <c r="HM74" s="179"/>
      <c r="HN74" s="179"/>
      <c r="HO74" s="179"/>
      <c r="HP74" s="179"/>
      <c r="HQ74" s="179"/>
      <c r="HR74" s="179"/>
      <c r="HS74" s="179"/>
      <c r="HT74" s="179"/>
      <c r="HU74" s="179"/>
      <c r="HV74" s="179"/>
      <c r="HW74" s="179"/>
      <c r="HX74" s="179"/>
      <c r="HY74" s="179"/>
      <c r="HZ74" s="179"/>
      <c r="IA74" s="179"/>
      <c r="IB74" s="179"/>
      <c r="IC74" s="179"/>
      <c r="ID74" s="179"/>
      <c r="IE74" s="179"/>
      <c r="IF74" s="179"/>
      <c r="IG74" s="179"/>
      <c r="IH74" s="179"/>
      <c r="II74" s="179"/>
      <c r="IJ74" s="179"/>
      <c r="IK74" s="179"/>
      <c r="IL74" s="179"/>
      <c r="IM74" s="179"/>
      <c r="IN74" s="179"/>
      <c r="IO74" s="179"/>
      <c r="IP74" s="179"/>
      <c r="IQ74" s="179"/>
      <c r="IR74" s="179"/>
      <c r="IS74" s="179"/>
      <c r="IT74" s="179"/>
    </row>
    <row r="75" spans="1:254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79"/>
      <c r="FK75" s="179"/>
      <c r="FL75" s="179"/>
      <c r="FM75" s="179"/>
      <c r="FN75" s="179"/>
      <c r="FO75" s="179"/>
      <c r="FP75" s="179"/>
      <c r="FQ75" s="179"/>
      <c r="FR75" s="179"/>
      <c r="FS75" s="179"/>
      <c r="FT75" s="179"/>
      <c r="FU75" s="179"/>
      <c r="FV75" s="179"/>
      <c r="FW75" s="179"/>
      <c r="FX75" s="179"/>
      <c r="FY75" s="179"/>
      <c r="FZ75" s="179"/>
      <c r="GA75" s="179"/>
      <c r="GB75" s="179"/>
      <c r="GC75" s="179"/>
      <c r="GD75" s="179"/>
      <c r="GE75" s="179"/>
      <c r="GF75" s="179"/>
      <c r="GG75" s="179"/>
      <c r="GH75" s="179"/>
      <c r="GI75" s="179"/>
      <c r="GJ75" s="179"/>
      <c r="GK75" s="179"/>
      <c r="GL75" s="179"/>
      <c r="GM75" s="179"/>
      <c r="GN75" s="179"/>
      <c r="GO75" s="179"/>
      <c r="GP75" s="179"/>
      <c r="GQ75" s="179"/>
      <c r="GR75" s="179"/>
      <c r="GS75" s="179"/>
      <c r="GT75" s="179"/>
      <c r="GU75" s="179"/>
      <c r="GV75" s="179"/>
      <c r="GW75" s="179"/>
      <c r="GX75" s="179"/>
      <c r="GY75" s="179"/>
      <c r="GZ75" s="179"/>
      <c r="HA75" s="179"/>
      <c r="HB75" s="179"/>
      <c r="HC75" s="179"/>
      <c r="HD75" s="179"/>
      <c r="HE75" s="179"/>
      <c r="HF75" s="179"/>
      <c r="HG75" s="179"/>
      <c r="HH75" s="179"/>
      <c r="HI75" s="179"/>
      <c r="HJ75" s="179"/>
      <c r="HK75" s="179"/>
      <c r="HL75" s="179"/>
      <c r="HM75" s="179"/>
      <c r="HN75" s="179"/>
      <c r="HO75" s="179"/>
      <c r="HP75" s="179"/>
      <c r="HQ75" s="179"/>
      <c r="HR75" s="179"/>
      <c r="HS75" s="179"/>
      <c r="HT75" s="179"/>
      <c r="HU75" s="179"/>
      <c r="HV75" s="179"/>
      <c r="HW75" s="179"/>
      <c r="HX75" s="179"/>
      <c r="HY75" s="179"/>
      <c r="HZ75" s="179"/>
      <c r="IA75" s="179"/>
      <c r="IB75" s="179"/>
      <c r="IC75" s="179"/>
      <c r="ID75" s="179"/>
      <c r="IE75" s="179"/>
      <c r="IF75" s="179"/>
      <c r="IG75" s="179"/>
      <c r="IH75" s="179"/>
      <c r="II75" s="179"/>
      <c r="IJ75" s="179"/>
      <c r="IK75" s="179"/>
      <c r="IL75" s="179"/>
      <c r="IM75" s="179"/>
      <c r="IN75" s="179"/>
      <c r="IO75" s="179"/>
      <c r="IP75" s="179"/>
      <c r="IQ75" s="179"/>
      <c r="IR75" s="179"/>
      <c r="IS75" s="179"/>
      <c r="IT75" s="179"/>
    </row>
    <row r="76" spans="1:254">
      <c r="A76" s="185" t="s">
        <v>605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  <c r="DP76" s="179"/>
      <c r="DQ76" s="179"/>
      <c r="DR76" s="179"/>
      <c r="DS76" s="179"/>
      <c r="DT76" s="179"/>
      <c r="DU76" s="179"/>
      <c r="DV76" s="179"/>
      <c r="DW76" s="179"/>
      <c r="DX76" s="179"/>
      <c r="DY76" s="179"/>
      <c r="DZ76" s="179"/>
      <c r="EA76" s="179"/>
      <c r="EB76" s="179"/>
      <c r="EC76" s="179"/>
      <c r="ED76" s="179"/>
      <c r="EE76" s="179"/>
      <c r="EF76" s="179"/>
      <c r="EG76" s="179"/>
      <c r="EH76" s="179"/>
      <c r="EI76" s="179"/>
      <c r="EJ76" s="179"/>
      <c r="EK76" s="179"/>
      <c r="EL76" s="179"/>
      <c r="EM76" s="179"/>
      <c r="EN76" s="179"/>
      <c r="EO76" s="179"/>
      <c r="EP76" s="179"/>
      <c r="EQ76" s="179"/>
      <c r="ER76" s="179"/>
      <c r="ES76" s="179"/>
      <c r="ET76" s="179"/>
      <c r="EU76" s="179"/>
      <c r="EV76" s="179"/>
      <c r="EW76" s="179"/>
      <c r="EX76" s="179"/>
      <c r="EY76" s="179"/>
      <c r="EZ76" s="179"/>
      <c r="FA76" s="179"/>
      <c r="FB76" s="179"/>
      <c r="FC76" s="179"/>
      <c r="FD76" s="179"/>
      <c r="FE76" s="179"/>
      <c r="FF76" s="179"/>
      <c r="FG76" s="179"/>
      <c r="FH76" s="179"/>
      <c r="FI76" s="179"/>
      <c r="FJ76" s="179"/>
      <c r="FK76" s="179"/>
      <c r="FL76" s="179"/>
      <c r="FM76" s="179"/>
      <c r="FN76" s="179"/>
      <c r="FO76" s="179"/>
      <c r="FP76" s="179"/>
      <c r="FQ76" s="179"/>
      <c r="FR76" s="179"/>
      <c r="FS76" s="179"/>
      <c r="FT76" s="179"/>
      <c r="FU76" s="179"/>
      <c r="FV76" s="179"/>
      <c r="FW76" s="179"/>
      <c r="FX76" s="179"/>
      <c r="FY76" s="179"/>
      <c r="FZ76" s="179"/>
      <c r="GA76" s="179"/>
      <c r="GB76" s="179"/>
      <c r="GC76" s="179"/>
      <c r="GD76" s="179"/>
      <c r="GE76" s="179"/>
      <c r="GF76" s="179"/>
      <c r="GG76" s="179"/>
      <c r="GH76" s="179"/>
      <c r="GI76" s="179"/>
      <c r="GJ76" s="179"/>
      <c r="GK76" s="179"/>
      <c r="GL76" s="179"/>
      <c r="GM76" s="179"/>
      <c r="GN76" s="179"/>
      <c r="GO76" s="179"/>
      <c r="GP76" s="179"/>
      <c r="GQ76" s="179"/>
      <c r="GR76" s="179"/>
      <c r="GS76" s="179"/>
      <c r="GT76" s="179"/>
      <c r="GU76" s="179"/>
      <c r="GV76" s="179"/>
      <c r="GW76" s="179"/>
      <c r="GX76" s="179"/>
      <c r="GY76" s="179"/>
      <c r="GZ76" s="179"/>
      <c r="HA76" s="179"/>
      <c r="HB76" s="179"/>
      <c r="HC76" s="179"/>
      <c r="HD76" s="179"/>
      <c r="HE76" s="179"/>
      <c r="HF76" s="179"/>
      <c r="HG76" s="179"/>
      <c r="HH76" s="179"/>
      <c r="HI76" s="179"/>
      <c r="HJ76" s="179"/>
      <c r="HK76" s="179"/>
      <c r="HL76" s="179"/>
      <c r="HM76" s="179"/>
      <c r="HN76" s="179"/>
      <c r="HO76" s="179"/>
      <c r="HP76" s="179"/>
      <c r="HQ76" s="179"/>
      <c r="HR76" s="179"/>
      <c r="HS76" s="179"/>
      <c r="HT76" s="179"/>
      <c r="HU76" s="179"/>
      <c r="HV76" s="179"/>
      <c r="HW76" s="179"/>
      <c r="HX76" s="179"/>
      <c r="HY76" s="179"/>
      <c r="HZ76" s="179"/>
      <c r="IA76" s="179"/>
      <c r="IB76" s="179"/>
      <c r="IC76" s="179"/>
      <c r="ID76" s="179"/>
      <c r="IE76" s="179"/>
      <c r="IF76" s="179"/>
      <c r="IG76" s="179"/>
      <c r="IH76" s="179"/>
      <c r="II76" s="179"/>
      <c r="IJ76" s="179"/>
      <c r="IK76" s="179"/>
      <c r="IL76" s="179"/>
      <c r="IM76" s="179"/>
      <c r="IN76" s="179"/>
      <c r="IO76" s="179"/>
      <c r="IP76" s="179"/>
      <c r="IQ76" s="179"/>
      <c r="IR76" s="179"/>
      <c r="IS76" s="179"/>
      <c r="IT76" s="179"/>
    </row>
  </sheetData>
  <mergeCells count="4">
    <mergeCell ref="A54:B54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0"/>
  <sheetViews>
    <sheetView workbookViewId="0">
      <selection activeCell="C137" sqref="C137"/>
    </sheetView>
  </sheetViews>
  <sheetFormatPr defaultRowHeight="15"/>
  <cols>
    <col min="3" max="3" width="99.7109375" customWidth="1"/>
    <col min="4" max="4" width="14.5703125" customWidth="1"/>
  </cols>
  <sheetData>
    <row r="1" spans="1:4" ht="18">
      <c r="A1" s="852" t="s">
        <v>220</v>
      </c>
      <c r="B1" s="852"/>
      <c r="C1" s="852"/>
      <c r="D1" s="852"/>
    </row>
    <row r="2" spans="1:4" ht="18">
      <c r="A2" s="851" t="s">
        <v>219</v>
      </c>
      <c r="B2" s="851"/>
      <c r="C2" s="851"/>
      <c r="D2" s="851"/>
    </row>
    <row r="3" spans="1:4" ht="18">
      <c r="A3" s="853" t="s">
        <v>218</v>
      </c>
      <c r="B3" s="853"/>
      <c r="C3" s="853"/>
      <c r="D3" s="853"/>
    </row>
    <row r="4" spans="1:4" s="55" customFormat="1" ht="18">
      <c r="A4" s="54"/>
      <c r="B4" s="54"/>
      <c r="C4" s="54"/>
      <c r="D4" s="54"/>
    </row>
    <row r="5" spans="1:4" s="55" customFormat="1" ht="18">
      <c r="A5" s="54"/>
      <c r="B5" s="54"/>
      <c r="C5" s="54"/>
      <c r="D5" s="54"/>
    </row>
    <row r="6" spans="1:4" ht="45">
      <c r="A6" s="58"/>
      <c r="B6" s="854" t="s">
        <v>229</v>
      </c>
      <c r="C6" s="855"/>
      <c r="D6" s="59" t="s">
        <v>228</v>
      </c>
    </row>
    <row r="7" spans="1:4" ht="16.5" thickBot="1">
      <c r="A7" s="56">
        <v>1</v>
      </c>
      <c r="B7" s="796" t="s">
        <v>0</v>
      </c>
      <c r="C7" s="797"/>
      <c r="D7" s="57"/>
    </row>
    <row r="8" spans="1:4">
      <c r="A8" s="5" t="s">
        <v>1</v>
      </c>
      <c r="B8" s="798" t="s">
        <v>2</v>
      </c>
      <c r="C8" s="799"/>
      <c r="D8" s="6"/>
    </row>
    <row r="9" spans="1:4">
      <c r="A9" s="7" t="s">
        <v>3</v>
      </c>
      <c r="B9" s="794" t="s">
        <v>4</v>
      </c>
      <c r="C9" s="795"/>
      <c r="D9" s="8"/>
    </row>
    <row r="10" spans="1:4">
      <c r="A10" s="7" t="s">
        <v>5</v>
      </c>
      <c r="B10" s="794" t="s">
        <v>6</v>
      </c>
      <c r="C10" s="795"/>
      <c r="D10" s="8"/>
    </row>
    <row r="11" spans="1:4">
      <c r="A11" s="7" t="s">
        <v>7</v>
      </c>
      <c r="B11" s="794" t="s">
        <v>8</v>
      </c>
      <c r="C11" s="795"/>
      <c r="D11" s="8"/>
    </row>
    <row r="12" spans="1:4">
      <c r="A12" s="7" t="s">
        <v>9</v>
      </c>
      <c r="B12" s="794" t="s">
        <v>10</v>
      </c>
      <c r="C12" s="795"/>
      <c r="D12" s="8"/>
    </row>
    <row r="13" spans="1:4">
      <c r="A13" s="7" t="s">
        <v>11</v>
      </c>
      <c r="B13" s="794" t="s">
        <v>12</v>
      </c>
      <c r="C13" s="795"/>
      <c r="D13" s="8"/>
    </row>
    <row r="14" spans="1:4">
      <c r="A14" s="7" t="s">
        <v>13</v>
      </c>
      <c r="B14" s="794" t="s">
        <v>14</v>
      </c>
      <c r="C14" s="795"/>
      <c r="D14" s="8"/>
    </row>
    <row r="15" spans="1:4">
      <c r="A15" s="7" t="s">
        <v>15</v>
      </c>
      <c r="B15" s="794" t="s">
        <v>16</v>
      </c>
      <c r="C15" s="795"/>
      <c r="D15" s="8"/>
    </row>
    <row r="16" spans="1:4">
      <c r="A16" s="7" t="s">
        <v>17</v>
      </c>
      <c r="B16" s="794" t="s">
        <v>18</v>
      </c>
      <c r="C16" s="795"/>
      <c r="D16" s="8"/>
    </row>
    <row r="17" spans="1:4">
      <c r="A17" s="7" t="s">
        <v>19</v>
      </c>
      <c r="B17" s="794" t="s">
        <v>20</v>
      </c>
      <c r="C17" s="795"/>
      <c r="D17" s="8"/>
    </row>
    <row r="18" spans="1:4">
      <c r="A18" s="7" t="s">
        <v>21</v>
      </c>
      <c r="B18" s="794" t="s">
        <v>22</v>
      </c>
      <c r="C18" s="795"/>
      <c r="D18" s="8"/>
    </row>
    <row r="19" spans="1:4">
      <c r="A19" s="7" t="s">
        <v>23</v>
      </c>
      <c r="B19" s="800" t="s">
        <v>24</v>
      </c>
      <c r="C19" s="800"/>
      <c r="D19" s="8"/>
    </row>
    <row r="20" spans="1:4">
      <c r="A20" s="7" t="s">
        <v>25</v>
      </c>
      <c r="B20" s="800" t="s">
        <v>26</v>
      </c>
      <c r="C20" s="800"/>
      <c r="D20" s="8"/>
    </row>
    <row r="21" spans="1:4" ht="15.75" thickBot="1">
      <c r="A21" s="9" t="s">
        <v>27</v>
      </c>
      <c r="B21" s="801" t="s">
        <v>28</v>
      </c>
      <c r="C21" s="801"/>
      <c r="D21" s="10"/>
    </row>
    <row r="22" spans="1:4" ht="16.5" thickBot="1">
      <c r="A22" s="3">
        <v>2</v>
      </c>
      <c r="B22" s="802" t="s">
        <v>29</v>
      </c>
      <c r="C22" s="803"/>
      <c r="D22" s="4"/>
    </row>
    <row r="23" spans="1:4">
      <c r="A23" s="5" t="s">
        <v>30</v>
      </c>
      <c r="B23" s="798" t="s">
        <v>31</v>
      </c>
      <c r="C23" s="799"/>
      <c r="D23" s="11"/>
    </row>
    <row r="24" spans="1:4">
      <c r="A24" s="7" t="s">
        <v>32</v>
      </c>
      <c r="B24" s="794" t="s">
        <v>33</v>
      </c>
      <c r="C24" s="795"/>
      <c r="D24" s="12"/>
    </row>
    <row r="25" spans="1:4">
      <c r="A25" s="7" t="s">
        <v>34</v>
      </c>
      <c r="B25" s="794" t="s">
        <v>35</v>
      </c>
      <c r="C25" s="795"/>
      <c r="D25" s="12"/>
    </row>
    <row r="26" spans="1:4">
      <c r="A26" s="7" t="s">
        <v>36</v>
      </c>
      <c r="B26" s="794" t="s">
        <v>37</v>
      </c>
      <c r="C26" s="795"/>
      <c r="D26" s="12"/>
    </row>
    <row r="27" spans="1:4">
      <c r="A27" s="7" t="s">
        <v>38</v>
      </c>
      <c r="B27" s="794" t="s">
        <v>39</v>
      </c>
      <c r="C27" s="795"/>
      <c r="D27" s="12"/>
    </row>
    <row r="28" spans="1:4">
      <c r="A28" s="7" t="s">
        <v>40</v>
      </c>
      <c r="B28" s="794" t="s">
        <v>41</v>
      </c>
      <c r="C28" s="795"/>
      <c r="D28" s="8"/>
    </row>
    <row r="29" spans="1:4">
      <c r="A29" s="7" t="s">
        <v>42</v>
      </c>
      <c r="B29" s="794" t="s">
        <v>43</v>
      </c>
      <c r="C29" s="795"/>
      <c r="D29" s="12"/>
    </row>
    <row r="30" spans="1:4">
      <c r="A30" s="7" t="s">
        <v>44</v>
      </c>
      <c r="B30" s="794" t="s">
        <v>45</v>
      </c>
      <c r="C30" s="795"/>
      <c r="D30" s="12"/>
    </row>
    <row r="31" spans="1:4">
      <c r="A31" s="7" t="s">
        <v>46</v>
      </c>
      <c r="B31" s="794" t="s">
        <v>47</v>
      </c>
      <c r="C31" s="795"/>
      <c r="D31" s="8"/>
    </row>
    <row r="32" spans="1:4">
      <c r="A32" s="7" t="s">
        <v>48</v>
      </c>
      <c r="B32" s="794" t="s">
        <v>49</v>
      </c>
      <c r="C32" s="795"/>
      <c r="D32" s="12"/>
    </row>
    <row r="33" spans="1:4">
      <c r="A33" s="7" t="s">
        <v>50</v>
      </c>
      <c r="B33" s="794" t="s">
        <v>51</v>
      </c>
      <c r="C33" s="795"/>
      <c r="D33" s="12"/>
    </row>
    <row r="34" spans="1:4">
      <c r="A34" s="7" t="s">
        <v>52</v>
      </c>
      <c r="B34" s="794" t="s">
        <v>53</v>
      </c>
      <c r="C34" s="795"/>
      <c r="D34" s="12"/>
    </row>
    <row r="35" spans="1:4" ht="15.75" thickBot="1">
      <c r="A35" s="13" t="s">
        <v>54</v>
      </c>
      <c r="B35" s="807" t="s">
        <v>55</v>
      </c>
      <c r="C35" s="808"/>
      <c r="D35" s="14"/>
    </row>
    <row r="36" spans="1:4" ht="16.5" thickBot="1">
      <c r="A36" s="3">
        <v>3</v>
      </c>
      <c r="B36" s="809" t="s">
        <v>56</v>
      </c>
      <c r="C36" s="810"/>
      <c r="D36" s="4"/>
    </row>
    <row r="37" spans="1:4" ht="16.5" thickBot="1">
      <c r="A37" s="3" t="s">
        <v>221</v>
      </c>
      <c r="B37" s="802" t="s">
        <v>57</v>
      </c>
      <c r="C37" s="806"/>
      <c r="D37" s="4"/>
    </row>
    <row r="38" spans="1:4">
      <c r="A38" s="7" t="s">
        <v>222</v>
      </c>
      <c r="B38" s="800" t="s">
        <v>58</v>
      </c>
      <c r="C38" s="800"/>
      <c r="D38" s="8"/>
    </row>
    <row r="39" spans="1:4" ht="15" customHeight="1">
      <c r="A39" s="7" t="s">
        <v>223</v>
      </c>
      <c r="B39" s="800" t="s">
        <v>59</v>
      </c>
      <c r="C39" s="800"/>
      <c r="D39" s="8"/>
    </row>
    <row r="40" spans="1:4">
      <c r="A40" s="7" t="s">
        <v>224</v>
      </c>
      <c r="B40" s="804" t="s">
        <v>60</v>
      </c>
      <c r="C40" s="805"/>
      <c r="D40" s="8"/>
    </row>
    <row r="41" spans="1:4">
      <c r="A41" s="7" t="s">
        <v>225</v>
      </c>
      <c r="B41" s="804" t="s">
        <v>61</v>
      </c>
      <c r="C41" s="805"/>
      <c r="D41" s="8"/>
    </row>
    <row r="42" spans="1:4" ht="15" customHeight="1">
      <c r="A42" s="7" t="s">
        <v>226</v>
      </c>
      <c r="B42" s="804" t="s">
        <v>62</v>
      </c>
      <c r="C42" s="805"/>
      <c r="D42" s="8"/>
    </row>
    <row r="43" spans="1:4" ht="15.75" customHeight="1" thickBot="1">
      <c r="A43" s="9" t="s">
        <v>227</v>
      </c>
      <c r="B43" s="819" t="s">
        <v>63</v>
      </c>
      <c r="C43" s="820"/>
      <c r="D43" s="10"/>
    </row>
    <row r="44" spans="1:4" ht="16.5" thickBot="1">
      <c r="A44" s="3">
        <v>6</v>
      </c>
      <c r="B44" s="817" t="s">
        <v>64</v>
      </c>
      <c r="C44" s="817"/>
      <c r="D44" s="4"/>
    </row>
    <row r="45" spans="1:4">
      <c r="A45" s="15" t="s">
        <v>65</v>
      </c>
      <c r="B45" s="818" t="s">
        <v>66</v>
      </c>
      <c r="C45" s="818"/>
      <c r="D45" s="16"/>
    </row>
    <row r="46" spans="1:4">
      <c r="A46" s="7" t="s">
        <v>67</v>
      </c>
      <c r="B46" s="17" t="s">
        <v>68</v>
      </c>
      <c r="C46" s="17"/>
      <c r="D46" s="8"/>
    </row>
    <row r="47" spans="1:4" ht="15" customHeight="1">
      <c r="A47" s="7" t="s">
        <v>69</v>
      </c>
      <c r="B47" s="18" t="s">
        <v>70</v>
      </c>
      <c r="C47" s="18"/>
      <c r="D47" s="8"/>
    </row>
    <row r="48" spans="1:4" ht="15" customHeight="1">
      <c r="A48" s="7" t="s">
        <v>71</v>
      </c>
      <c r="B48" s="18" t="s">
        <v>72</v>
      </c>
      <c r="C48" s="18"/>
      <c r="D48" s="8"/>
    </row>
    <row r="49" spans="1:4" ht="15" customHeight="1">
      <c r="A49" s="7" t="s">
        <v>73</v>
      </c>
      <c r="B49" s="18" t="s">
        <v>74</v>
      </c>
      <c r="C49" s="18"/>
      <c r="D49" s="8"/>
    </row>
    <row r="50" spans="1:4">
      <c r="A50" s="7" t="s">
        <v>75</v>
      </c>
      <c r="B50" s="18" t="s">
        <v>76</v>
      </c>
      <c r="C50" s="18"/>
      <c r="D50" s="8"/>
    </row>
    <row r="51" spans="1:4" ht="15" customHeight="1">
      <c r="A51" s="7" t="s">
        <v>77</v>
      </c>
      <c r="B51" s="19" t="s">
        <v>78</v>
      </c>
      <c r="C51" s="19"/>
      <c r="D51" s="8"/>
    </row>
    <row r="52" spans="1:4" ht="15" customHeight="1">
      <c r="A52" s="7" t="s">
        <v>79</v>
      </c>
      <c r="B52" s="20" t="s">
        <v>80</v>
      </c>
      <c r="C52" s="20"/>
      <c r="D52" s="8"/>
    </row>
    <row r="53" spans="1:4" ht="15" customHeight="1">
      <c r="A53" s="7" t="s">
        <v>81</v>
      </c>
      <c r="B53" s="19" t="s">
        <v>82</v>
      </c>
      <c r="C53" s="19"/>
      <c r="D53" s="8"/>
    </row>
    <row r="54" spans="1:4">
      <c r="A54" s="7" t="s">
        <v>83</v>
      </c>
      <c r="B54" s="19" t="s">
        <v>84</v>
      </c>
      <c r="C54" s="19"/>
      <c r="D54" s="8"/>
    </row>
    <row r="55" spans="1:4" ht="15" customHeight="1">
      <c r="A55" s="7" t="s">
        <v>85</v>
      </c>
      <c r="B55" s="19" t="s">
        <v>86</v>
      </c>
      <c r="C55" s="19"/>
      <c r="D55" s="8"/>
    </row>
    <row r="56" spans="1:4" ht="15" customHeight="1">
      <c r="A56" s="7" t="s">
        <v>87</v>
      </c>
      <c r="B56" s="21" t="s">
        <v>88</v>
      </c>
      <c r="C56" s="21"/>
      <c r="D56" s="8"/>
    </row>
    <row r="57" spans="1:4">
      <c r="A57" s="22" t="s">
        <v>89</v>
      </c>
      <c r="B57" s="815" t="s">
        <v>90</v>
      </c>
      <c r="C57" s="815"/>
      <c r="D57" s="23"/>
    </row>
    <row r="58" spans="1:4" ht="15" customHeight="1">
      <c r="A58" s="7" t="s">
        <v>91</v>
      </c>
      <c r="B58" s="816" t="s">
        <v>92</v>
      </c>
      <c r="C58" s="816"/>
      <c r="D58" s="8"/>
    </row>
    <row r="59" spans="1:4" ht="15" customHeight="1">
      <c r="A59" s="7" t="s">
        <v>93</v>
      </c>
      <c r="B59" s="811" t="s">
        <v>94</v>
      </c>
      <c r="C59" s="812"/>
      <c r="D59" s="8"/>
    </row>
    <row r="60" spans="1:4">
      <c r="A60" s="7" t="s">
        <v>95</v>
      </c>
      <c r="B60" s="811" t="s">
        <v>96</v>
      </c>
      <c r="C60" s="812"/>
      <c r="D60" s="8"/>
    </row>
    <row r="61" spans="1:4" ht="15.75" customHeight="1" thickBot="1">
      <c r="A61" s="9" t="s">
        <v>97</v>
      </c>
      <c r="B61" s="813" t="s">
        <v>98</v>
      </c>
      <c r="C61" s="814"/>
      <c r="D61" s="10"/>
    </row>
    <row r="62" spans="1:4" ht="16.5" thickBot="1">
      <c r="A62" s="3">
        <v>7</v>
      </c>
      <c r="B62" s="809" t="s">
        <v>99</v>
      </c>
      <c r="C62" s="810"/>
      <c r="D62" s="4"/>
    </row>
    <row r="63" spans="1:4" ht="16.5" thickBot="1">
      <c r="A63" s="24">
        <v>8</v>
      </c>
      <c r="B63" s="835" t="s">
        <v>100</v>
      </c>
      <c r="C63" s="836"/>
      <c r="D63" s="25"/>
    </row>
    <row r="64" spans="1:4" ht="16.5" thickBot="1">
      <c r="A64" s="3">
        <v>9</v>
      </c>
      <c r="B64" s="809" t="s">
        <v>101</v>
      </c>
      <c r="C64" s="810"/>
      <c r="D64" s="4"/>
    </row>
    <row r="65" spans="1:4" ht="16.5" thickBot="1">
      <c r="A65" s="3">
        <v>10</v>
      </c>
      <c r="B65" s="837" t="s">
        <v>102</v>
      </c>
      <c r="C65" s="837"/>
      <c r="D65" s="4"/>
    </row>
    <row r="66" spans="1:4" ht="16.5" thickBot="1">
      <c r="A66" s="24">
        <v>11</v>
      </c>
      <c r="B66" s="826" t="s">
        <v>103</v>
      </c>
      <c r="C66" s="827"/>
      <c r="D66" s="26"/>
    </row>
    <row r="67" spans="1:4" ht="21" thickBot="1">
      <c r="A67" s="27"/>
      <c r="B67" s="828" t="s">
        <v>104</v>
      </c>
      <c r="C67" s="829"/>
      <c r="D67" s="28"/>
    </row>
    <row r="68" spans="1:4" ht="18.75" thickBot="1">
      <c r="A68" s="29"/>
      <c r="B68" s="830" t="s">
        <v>105</v>
      </c>
      <c r="C68" s="831"/>
      <c r="D68" s="30"/>
    </row>
    <row r="69" spans="1:4">
      <c r="A69" s="31">
        <v>12</v>
      </c>
      <c r="B69" s="832" t="s">
        <v>106</v>
      </c>
      <c r="C69" s="832"/>
      <c r="D69" s="32"/>
    </row>
    <row r="70" spans="1:4">
      <c r="A70" s="33" t="s">
        <v>107</v>
      </c>
      <c r="B70" s="833" t="s">
        <v>108</v>
      </c>
      <c r="C70" s="834"/>
      <c r="D70" s="23"/>
    </row>
    <row r="71" spans="1:4" ht="15" customHeight="1">
      <c r="A71" s="34" t="s">
        <v>109</v>
      </c>
      <c r="B71" s="821" t="s">
        <v>110</v>
      </c>
      <c r="C71" s="822"/>
      <c r="D71" s="8"/>
    </row>
    <row r="72" spans="1:4">
      <c r="A72" s="35">
        <v>13</v>
      </c>
      <c r="B72" s="823" t="s">
        <v>111</v>
      </c>
      <c r="C72" s="824"/>
      <c r="D72" s="36"/>
    </row>
    <row r="73" spans="1:4">
      <c r="A73" s="33" t="s">
        <v>112</v>
      </c>
      <c r="B73" s="825" t="s">
        <v>113</v>
      </c>
      <c r="C73" s="825"/>
      <c r="D73" s="23"/>
    </row>
    <row r="74" spans="1:4">
      <c r="A74" s="37" t="s">
        <v>114</v>
      </c>
      <c r="B74" s="840" t="s">
        <v>115</v>
      </c>
      <c r="C74" s="841"/>
      <c r="D74" s="8"/>
    </row>
    <row r="75" spans="1:4">
      <c r="A75" s="37" t="s">
        <v>116</v>
      </c>
      <c r="B75" s="840" t="s">
        <v>117</v>
      </c>
      <c r="C75" s="841"/>
      <c r="D75" s="8"/>
    </row>
    <row r="76" spans="1:4" ht="15" customHeight="1">
      <c r="A76" s="37" t="s">
        <v>118</v>
      </c>
      <c r="B76" s="840" t="s">
        <v>119</v>
      </c>
      <c r="C76" s="841"/>
      <c r="D76" s="8"/>
    </row>
    <row r="77" spans="1:4" ht="15" customHeight="1">
      <c r="A77" s="37" t="s">
        <v>120</v>
      </c>
      <c r="B77" s="838" t="s">
        <v>121</v>
      </c>
      <c r="C77" s="839"/>
      <c r="D77" s="8"/>
    </row>
    <row r="78" spans="1:4">
      <c r="A78" s="37" t="s">
        <v>122</v>
      </c>
      <c r="B78" s="838" t="s">
        <v>123</v>
      </c>
      <c r="C78" s="839"/>
      <c r="D78" s="8"/>
    </row>
    <row r="79" spans="1:4">
      <c r="A79" s="35">
        <v>14</v>
      </c>
      <c r="B79" s="823" t="s">
        <v>124</v>
      </c>
      <c r="C79" s="824"/>
      <c r="D79" s="36"/>
    </row>
    <row r="80" spans="1:4">
      <c r="A80" s="33" t="s">
        <v>125</v>
      </c>
      <c r="B80" s="825" t="s">
        <v>126</v>
      </c>
      <c r="C80" s="825"/>
      <c r="D80" s="23"/>
    </row>
    <row r="81" spans="1:4" ht="15" customHeight="1">
      <c r="A81" s="37" t="s">
        <v>127</v>
      </c>
      <c r="B81" s="821" t="s">
        <v>128</v>
      </c>
      <c r="C81" s="822"/>
      <c r="D81" s="8"/>
    </row>
    <row r="82" spans="1:4">
      <c r="A82" s="37" t="s">
        <v>129</v>
      </c>
      <c r="B82" s="821" t="s">
        <v>130</v>
      </c>
      <c r="C82" s="822"/>
      <c r="D82" s="8"/>
    </row>
    <row r="83" spans="1:4">
      <c r="A83" s="38" t="s">
        <v>131</v>
      </c>
      <c r="B83" s="840" t="s">
        <v>132</v>
      </c>
      <c r="C83" s="841"/>
      <c r="D83" s="8"/>
    </row>
    <row r="84" spans="1:4">
      <c r="A84" s="39" t="s">
        <v>133</v>
      </c>
      <c r="B84" s="843" t="s">
        <v>134</v>
      </c>
      <c r="C84" s="843"/>
      <c r="D84" s="36"/>
    </row>
    <row r="85" spans="1:4">
      <c r="A85" s="38" t="s">
        <v>135</v>
      </c>
      <c r="B85" s="842" t="s">
        <v>136</v>
      </c>
      <c r="C85" s="842"/>
      <c r="D85" s="8"/>
    </row>
    <row r="86" spans="1:4" ht="15" customHeight="1">
      <c r="A86" s="38" t="s">
        <v>137</v>
      </c>
      <c r="B86" s="842" t="s">
        <v>138</v>
      </c>
      <c r="C86" s="842"/>
      <c r="D86" s="8"/>
    </row>
    <row r="87" spans="1:4">
      <c r="A87" s="38" t="s">
        <v>139</v>
      </c>
      <c r="B87" s="842" t="s">
        <v>140</v>
      </c>
      <c r="C87" s="842"/>
      <c r="D87" s="8"/>
    </row>
    <row r="88" spans="1:4" ht="15" customHeight="1">
      <c r="A88" s="38" t="s">
        <v>141</v>
      </c>
      <c r="B88" s="842" t="s">
        <v>142</v>
      </c>
      <c r="C88" s="842"/>
      <c r="D88" s="8"/>
    </row>
    <row r="89" spans="1:4" ht="15" customHeight="1">
      <c r="A89" s="38" t="s">
        <v>143</v>
      </c>
      <c r="B89" s="842" t="s">
        <v>144</v>
      </c>
      <c r="C89" s="842"/>
      <c r="D89" s="8"/>
    </row>
    <row r="90" spans="1:4" ht="15" customHeight="1">
      <c r="A90" s="38" t="s">
        <v>145</v>
      </c>
      <c r="B90" s="842" t="s">
        <v>146</v>
      </c>
      <c r="C90" s="842"/>
      <c r="D90" s="8"/>
    </row>
    <row r="91" spans="1:4">
      <c r="A91" s="37" t="s">
        <v>147</v>
      </c>
      <c r="B91" s="840" t="s">
        <v>148</v>
      </c>
      <c r="C91" s="841"/>
      <c r="D91" s="8"/>
    </row>
    <row r="92" spans="1:4">
      <c r="A92" s="37" t="s">
        <v>149</v>
      </c>
      <c r="B92" s="840" t="s">
        <v>150</v>
      </c>
      <c r="C92" s="841"/>
      <c r="D92" s="8"/>
    </row>
    <row r="93" spans="1:4">
      <c r="A93" s="37" t="s">
        <v>151</v>
      </c>
      <c r="B93" s="840" t="s">
        <v>152</v>
      </c>
      <c r="C93" s="841"/>
      <c r="D93" s="8"/>
    </row>
    <row r="94" spans="1:4">
      <c r="A94" s="37" t="s">
        <v>153</v>
      </c>
      <c r="B94" s="840" t="s">
        <v>154</v>
      </c>
      <c r="C94" s="841"/>
      <c r="D94" s="8"/>
    </row>
    <row r="95" spans="1:4">
      <c r="A95" s="38" t="s">
        <v>155</v>
      </c>
      <c r="B95" s="840" t="s">
        <v>156</v>
      </c>
      <c r="C95" s="841"/>
      <c r="D95" s="8"/>
    </row>
    <row r="96" spans="1:4">
      <c r="A96" s="39" t="s">
        <v>157</v>
      </c>
      <c r="B96" s="843" t="s">
        <v>158</v>
      </c>
      <c r="C96" s="843"/>
      <c r="D96" s="36"/>
    </row>
    <row r="97" spans="1:4">
      <c r="A97" s="37" t="s">
        <v>159</v>
      </c>
      <c r="B97" s="821" t="s">
        <v>160</v>
      </c>
      <c r="C97" s="822"/>
      <c r="D97" s="8"/>
    </row>
    <row r="98" spans="1:4">
      <c r="A98" s="37" t="s">
        <v>161</v>
      </c>
      <c r="B98" s="821" t="s">
        <v>162</v>
      </c>
      <c r="C98" s="822"/>
      <c r="D98" s="8"/>
    </row>
    <row r="99" spans="1:4">
      <c r="A99" s="39" t="s">
        <v>163</v>
      </c>
      <c r="B99" s="843" t="s">
        <v>164</v>
      </c>
      <c r="C99" s="843"/>
      <c r="D99" s="36"/>
    </row>
    <row r="100" spans="1:4">
      <c r="A100" s="37" t="s">
        <v>165</v>
      </c>
      <c r="B100" s="821" t="s">
        <v>166</v>
      </c>
      <c r="C100" s="822"/>
      <c r="D100" s="8"/>
    </row>
    <row r="101" spans="1:4">
      <c r="A101" s="40">
        <v>18</v>
      </c>
      <c r="B101" s="756" t="s">
        <v>167</v>
      </c>
      <c r="C101" s="756"/>
      <c r="D101" s="36"/>
    </row>
    <row r="102" spans="1:4">
      <c r="A102" s="33" t="s">
        <v>168</v>
      </c>
      <c r="B102" s="815" t="s">
        <v>169</v>
      </c>
      <c r="C102" s="815"/>
      <c r="D102" s="23"/>
    </row>
    <row r="103" spans="1:4">
      <c r="A103" s="41" t="s">
        <v>170</v>
      </c>
      <c r="B103" s="811" t="s">
        <v>171</v>
      </c>
      <c r="C103" s="812"/>
      <c r="D103" s="8"/>
    </row>
    <row r="104" spans="1:4">
      <c r="A104" s="41" t="s">
        <v>172</v>
      </c>
      <c r="B104" s="811" t="s">
        <v>173</v>
      </c>
      <c r="C104" s="812"/>
      <c r="D104" s="8"/>
    </row>
    <row r="105" spans="1:4">
      <c r="A105" s="41" t="s">
        <v>174</v>
      </c>
      <c r="B105" s="811" t="s">
        <v>175</v>
      </c>
      <c r="C105" s="812"/>
      <c r="D105" s="8"/>
    </row>
    <row r="106" spans="1:4">
      <c r="A106" s="33" t="s">
        <v>176</v>
      </c>
      <c r="B106" s="815" t="s">
        <v>177</v>
      </c>
      <c r="C106" s="815"/>
      <c r="D106" s="23"/>
    </row>
    <row r="107" spans="1:4" ht="15.75" thickBot="1">
      <c r="A107" s="42" t="s">
        <v>178</v>
      </c>
      <c r="B107" s="858" t="s">
        <v>179</v>
      </c>
      <c r="C107" s="858"/>
      <c r="D107" s="10"/>
    </row>
    <row r="108" spans="1:4" ht="21" thickBot="1">
      <c r="A108" s="43"/>
      <c r="B108" s="828" t="s">
        <v>180</v>
      </c>
      <c r="C108" s="829"/>
      <c r="D108" s="44"/>
    </row>
    <row r="109" spans="1:4">
      <c r="A109" s="45" t="s">
        <v>181</v>
      </c>
      <c r="B109" s="844" t="s">
        <v>182</v>
      </c>
      <c r="C109" s="845"/>
      <c r="D109" s="32"/>
    </row>
    <row r="110" spans="1:4">
      <c r="A110" s="46" t="s">
        <v>183</v>
      </c>
      <c r="B110" s="794" t="s">
        <v>184</v>
      </c>
      <c r="C110" s="795"/>
      <c r="D110" s="8"/>
    </row>
    <row r="111" spans="1:4">
      <c r="A111" s="46" t="s">
        <v>185</v>
      </c>
      <c r="B111" s="794" t="s">
        <v>186</v>
      </c>
      <c r="C111" s="795"/>
      <c r="D111" s="8"/>
    </row>
    <row r="112" spans="1:4">
      <c r="A112" s="37" t="s">
        <v>187</v>
      </c>
      <c r="B112" s="794" t="s">
        <v>188</v>
      </c>
      <c r="C112" s="795"/>
      <c r="D112" s="8"/>
    </row>
    <row r="113" spans="1:4">
      <c r="A113" s="37" t="s">
        <v>189</v>
      </c>
      <c r="B113" s="794" t="s">
        <v>190</v>
      </c>
      <c r="C113" s="795"/>
      <c r="D113" s="8"/>
    </row>
    <row r="114" spans="1:4">
      <c r="A114" s="37" t="s">
        <v>191</v>
      </c>
      <c r="B114" s="794" t="s">
        <v>192</v>
      </c>
      <c r="C114" s="795"/>
      <c r="D114" s="8"/>
    </row>
    <row r="115" spans="1:4">
      <c r="A115" s="37" t="s">
        <v>193</v>
      </c>
      <c r="B115" s="794" t="s">
        <v>194</v>
      </c>
      <c r="C115" s="795"/>
      <c r="D115" s="8"/>
    </row>
    <row r="116" spans="1:4">
      <c r="A116" s="38" t="s">
        <v>195</v>
      </c>
      <c r="B116" s="794" t="s">
        <v>196</v>
      </c>
      <c r="C116" s="795"/>
      <c r="D116" s="8"/>
    </row>
    <row r="117" spans="1:4">
      <c r="A117" s="37" t="s">
        <v>197</v>
      </c>
      <c r="B117" s="794" t="s">
        <v>198</v>
      </c>
      <c r="C117" s="795"/>
      <c r="D117" s="8"/>
    </row>
    <row r="118" spans="1:4">
      <c r="A118" s="46" t="s">
        <v>199</v>
      </c>
      <c r="B118" s="794" t="s">
        <v>200</v>
      </c>
      <c r="C118" s="795"/>
      <c r="D118" s="8"/>
    </row>
    <row r="119" spans="1:4">
      <c r="A119" s="37" t="s">
        <v>201</v>
      </c>
      <c r="B119" s="794" t="s">
        <v>202</v>
      </c>
      <c r="C119" s="795"/>
      <c r="D119" s="8"/>
    </row>
    <row r="120" spans="1:4">
      <c r="A120" s="37" t="s">
        <v>203</v>
      </c>
      <c r="B120" s="794" t="s">
        <v>204</v>
      </c>
      <c r="C120" s="795"/>
      <c r="D120" s="8"/>
    </row>
    <row r="121" spans="1:4">
      <c r="A121" s="37" t="s">
        <v>205</v>
      </c>
      <c r="B121" s="821" t="s">
        <v>206</v>
      </c>
      <c r="C121" s="822"/>
      <c r="D121" s="8"/>
    </row>
    <row r="122" spans="1:4">
      <c r="A122" s="37" t="s">
        <v>207</v>
      </c>
      <c r="B122" s="821" t="s">
        <v>208</v>
      </c>
      <c r="C122" s="822"/>
      <c r="D122" s="8"/>
    </row>
    <row r="123" spans="1:4" ht="15" customHeight="1">
      <c r="A123" s="38" t="s">
        <v>209</v>
      </c>
      <c r="B123" s="842" t="s">
        <v>210</v>
      </c>
      <c r="C123" s="842"/>
      <c r="D123" s="8"/>
    </row>
    <row r="124" spans="1:4" ht="15" customHeight="1">
      <c r="A124" s="38" t="s">
        <v>211</v>
      </c>
      <c r="B124" s="804" t="s">
        <v>212</v>
      </c>
      <c r="C124" s="805"/>
      <c r="D124" s="8"/>
    </row>
    <row r="125" spans="1:4" ht="15.75" customHeight="1" thickBot="1">
      <c r="A125" s="47" t="s">
        <v>213</v>
      </c>
      <c r="B125" s="856" t="s">
        <v>214</v>
      </c>
      <c r="C125" s="857"/>
      <c r="D125" s="48"/>
    </row>
    <row r="126" spans="1:4" ht="21" thickBot="1">
      <c r="A126" s="49"/>
      <c r="B126" s="847" t="s">
        <v>215</v>
      </c>
      <c r="C126" s="848"/>
      <c r="D126" s="50"/>
    </row>
    <row r="127" spans="1:4" ht="21" thickBot="1">
      <c r="A127" s="51"/>
      <c r="B127" s="828" t="s">
        <v>216</v>
      </c>
      <c r="C127" s="829"/>
      <c r="D127" s="28"/>
    </row>
    <row r="128" spans="1:4" ht="24" thickBot="1">
      <c r="A128" s="52"/>
      <c r="B128" s="849" t="s">
        <v>217</v>
      </c>
      <c r="C128" s="850"/>
      <c r="D128" s="53"/>
    </row>
    <row r="129" spans="1:4" ht="15.75">
      <c r="A129" s="2"/>
      <c r="B129" s="1"/>
      <c r="C129" s="1"/>
      <c r="D129" s="1"/>
    </row>
    <row r="130" spans="1:4" ht="15.75">
      <c r="A130" s="846"/>
      <c r="B130" s="846"/>
      <c r="C130" s="846"/>
      <c r="D130" s="846"/>
    </row>
  </sheetData>
  <mergeCells count="116">
    <mergeCell ref="A130:D130"/>
    <mergeCell ref="B126:C126"/>
    <mergeCell ref="B127:C127"/>
    <mergeCell ref="B128:C128"/>
    <mergeCell ref="A2:D2"/>
    <mergeCell ref="A1:D1"/>
    <mergeCell ref="A3:D3"/>
    <mergeCell ref="B6:C6"/>
    <mergeCell ref="B123:C123"/>
    <mergeCell ref="B124:C124"/>
    <mergeCell ref="B125:C125"/>
    <mergeCell ref="B120:C120"/>
    <mergeCell ref="B121:C121"/>
    <mergeCell ref="B122:C122"/>
    <mergeCell ref="B117:C117"/>
    <mergeCell ref="B118:C118"/>
    <mergeCell ref="B119:C119"/>
    <mergeCell ref="B114:C114"/>
    <mergeCell ref="B115:C115"/>
    <mergeCell ref="B116:C116"/>
    <mergeCell ref="B111:C111"/>
    <mergeCell ref="B112:C112"/>
    <mergeCell ref="B113:C113"/>
    <mergeCell ref="B107:C107"/>
    <mergeCell ref="B108:C108"/>
    <mergeCell ref="B109:C109"/>
    <mergeCell ref="B110:C110"/>
    <mergeCell ref="B104:C104"/>
    <mergeCell ref="B105:C105"/>
    <mergeCell ref="B106:C106"/>
    <mergeCell ref="B101:C101"/>
    <mergeCell ref="B102:C102"/>
    <mergeCell ref="B103:C103"/>
    <mergeCell ref="B98:C98"/>
    <mergeCell ref="B99:C99"/>
    <mergeCell ref="B100:C100"/>
    <mergeCell ref="B95:C95"/>
    <mergeCell ref="B96:C96"/>
    <mergeCell ref="B97:C97"/>
    <mergeCell ref="B92:C92"/>
    <mergeCell ref="B93:C93"/>
    <mergeCell ref="B94:C94"/>
    <mergeCell ref="B89:C89"/>
    <mergeCell ref="B90:C90"/>
    <mergeCell ref="B91:C91"/>
    <mergeCell ref="B86:C86"/>
    <mergeCell ref="B87:C87"/>
    <mergeCell ref="B88:C88"/>
    <mergeCell ref="B83:C83"/>
    <mergeCell ref="B84:C84"/>
    <mergeCell ref="B85:C85"/>
    <mergeCell ref="B80:C80"/>
    <mergeCell ref="B81:C81"/>
    <mergeCell ref="B82:C82"/>
    <mergeCell ref="B77:C77"/>
    <mergeCell ref="B78:C78"/>
    <mergeCell ref="B79:C79"/>
    <mergeCell ref="B74:C74"/>
    <mergeCell ref="B75:C75"/>
    <mergeCell ref="B76:C76"/>
    <mergeCell ref="B71:C71"/>
    <mergeCell ref="B72:C72"/>
    <mergeCell ref="B73:C73"/>
    <mergeCell ref="B66:C66"/>
    <mergeCell ref="B67:C67"/>
    <mergeCell ref="B68:C68"/>
    <mergeCell ref="B69:C69"/>
    <mergeCell ref="B70:C70"/>
    <mergeCell ref="B62:C62"/>
    <mergeCell ref="B63:C63"/>
    <mergeCell ref="B64:C64"/>
    <mergeCell ref="B65:C65"/>
    <mergeCell ref="B59:C59"/>
    <mergeCell ref="B60:C60"/>
    <mergeCell ref="B61:C61"/>
    <mergeCell ref="B57:C57"/>
    <mergeCell ref="B58:C58"/>
    <mergeCell ref="B44:C44"/>
    <mergeCell ref="B45:C45"/>
    <mergeCell ref="B41:C41"/>
    <mergeCell ref="B42:C42"/>
    <mergeCell ref="B43:C43"/>
    <mergeCell ref="B38:C38"/>
    <mergeCell ref="B39:C39"/>
    <mergeCell ref="B40:C40"/>
    <mergeCell ref="B37:C37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25:C25"/>
    <mergeCell ref="B26:C26"/>
    <mergeCell ref="B27:C27"/>
    <mergeCell ref="B21:C21"/>
    <mergeCell ref="B22:C22"/>
    <mergeCell ref="B23:C23"/>
    <mergeCell ref="B24:C24"/>
    <mergeCell ref="B9:C9"/>
    <mergeCell ref="B10:C10"/>
    <mergeCell ref="B11:C11"/>
    <mergeCell ref="B7:C7"/>
    <mergeCell ref="B8:C8"/>
    <mergeCell ref="B18:C18"/>
    <mergeCell ref="B19:C19"/>
    <mergeCell ref="B20:C20"/>
    <mergeCell ref="B15:C15"/>
    <mergeCell ref="B16:C16"/>
    <mergeCell ref="B17:C17"/>
    <mergeCell ref="B12:C12"/>
    <mergeCell ref="B13:C13"/>
    <mergeCell ref="B14:C14"/>
  </mergeCells>
  <pageMargins left="0.7" right="0.7" top="0.75" bottom="0.75" header="0.3" footer="0.3"/>
  <pageSetup paperSize="9" orientation="portrait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0"/>
  <sheetViews>
    <sheetView topLeftCell="A73" workbookViewId="0">
      <selection activeCell="A84" sqref="A84:XFD113"/>
    </sheetView>
  </sheetViews>
  <sheetFormatPr defaultRowHeight="15"/>
  <cols>
    <col min="1" max="1" width="6.28515625" customWidth="1"/>
    <col min="2" max="2" width="27.7109375" customWidth="1"/>
    <col min="3" max="3" width="12.7109375" customWidth="1"/>
    <col min="4" max="4" width="7.140625" customWidth="1"/>
    <col min="5" max="5" width="6.85546875" customWidth="1"/>
    <col min="6" max="6" width="7.7109375" customWidth="1"/>
    <col min="7" max="7" width="8.42578125" customWidth="1"/>
    <col min="8" max="8" width="6.7109375" customWidth="1"/>
    <col min="9" max="9" width="6.42578125" customWidth="1"/>
    <col min="10" max="10" width="5.28515625" customWidth="1"/>
    <col min="11" max="11" width="4.85546875" customWidth="1"/>
    <col min="12" max="12" width="6" customWidth="1"/>
    <col min="13" max="13" width="6.42578125" customWidth="1"/>
    <col min="14" max="14" width="10.28515625" customWidth="1"/>
    <col min="15" max="15" width="9.5703125" customWidth="1"/>
    <col min="16" max="16" width="11.42578125" customWidth="1"/>
    <col min="17" max="17" width="3.5703125" customWidth="1"/>
    <col min="18" max="18" width="9.85546875" customWidth="1"/>
    <col min="19" max="19" width="3.7109375" customWidth="1"/>
    <col min="20" max="20" width="4.140625" customWidth="1"/>
    <col min="21" max="21" width="3.85546875" customWidth="1"/>
    <col min="22" max="23" width="3.5703125" customWidth="1"/>
    <col min="24" max="24" width="4" customWidth="1"/>
    <col min="25" max="25" width="3.5703125" customWidth="1"/>
    <col min="26" max="26" width="4" customWidth="1"/>
    <col min="27" max="27" width="3" customWidth="1"/>
    <col min="28" max="28" width="3.85546875" customWidth="1"/>
    <col min="29" max="29" width="4.5703125" customWidth="1"/>
    <col min="30" max="30" width="4" customWidth="1"/>
    <col min="31" max="31" width="4.28515625" customWidth="1"/>
    <col min="32" max="33" width="4.42578125" customWidth="1"/>
  </cols>
  <sheetData>
    <row r="2" spans="2:4">
      <c r="B2" t="s">
        <v>905</v>
      </c>
      <c r="C2" s="276">
        <v>1084.02</v>
      </c>
      <c r="D2" s="276">
        <f>C2/C26/12*1000</f>
        <v>12.527736173517502</v>
      </c>
    </row>
    <row r="3" spans="2:4">
      <c r="B3" t="s">
        <v>906</v>
      </c>
      <c r="C3" s="276">
        <f>959.3+43.317*1.302</f>
        <v>1015.6987339999999</v>
      </c>
      <c r="D3" s="276">
        <f>C3/C27/12*1000</f>
        <v>1.8481699037429262</v>
      </c>
    </row>
    <row r="4" spans="2:4">
      <c r="B4" t="s">
        <v>907</v>
      </c>
      <c r="C4" s="276">
        <f>(1.725+68.54)*1.302+6+5.1</f>
        <v>102.58503</v>
      </c>
      <c r="D4" s="276"/>
    </row>
    <row r="5" spans="2:4">
      <c r="B5" t="s">
        <v>908</v>
      </c>
      <c r="C5">
        <f>29.9*1.3</f>
        <v>38.869999999999997</v>
      </c>
      <c r="D5" s="276"/>
    </row>
    <row r="6" spans="2:4">
      <c r="B6" t="s">
        <v>909</v>
      </c>
      <c r="C6">
        <v>422.6</v>
      </c>
      <c r="D6" s="276"/>
    </row>
    <row r="7" spans="2:4">
      <c r="D7" s="276"/>
    </row>
    <row r="8" spans="2:4">
      <c r="B8" t="s">
        <v>519</v>
      </c>
      <c r="D8" s="276"/>
    </row>
    <row r="9" spans="2:4">
      <c r="B9" t="s">
        <v>910</v>
      </c>
      <c r="C9">
        <v>33.4</v>
      </c>
      <c r="D9" s="276"/>
    </row>
    <row r="10" spans="2:4">
      <c r="B10" t="s">
        <v>911</v>
      </c>
      <c r="C10">
        <v>133.4</v>
      </c>
      <c r="D10" s="276"/>
    </row>
    <row r="11" spans="2:4">
      <c r="B11" t="s">
        <v>912</v>
      </c>
      <c r="C11">
        <v>94.5</v>
      </c>
      <c r="D11" s="276"/>
    </row>
    <row r="12" spans="2:4">
      <c r="B12" t="s">
        <v>913</v>
      </c>
      <c r="C12">
        <v>123.3</v>
      </c>
      <c r="D12" s="276"/>
    </row>
    <row r="13" spans="2:4">
      <c r="B13" t="s">
        <v>914</v>
      </c>
      <c r="C13">
        <v>44.4</v>
      </c>
      <c r="D13" s="276"/>
    </row>
    <row r="14" spans="2:4">
      <c r="B14" t="s">
        <v>915</v>
      </c>
      <c r="C14">
        <v>44.1</v>
      </c>
      <c r="D14" s="276"/>
    </row>
    <row r="15" spans="2:4">
      <c r="B15" t="s">
        <v>916</v>
      </c>
      <c r="C15">
        <v>73.400000000000006</v>
      </c>
      <c r="D15" s="276"/>
    </row>
    <row r="16" spans="2:4">
      <c r="B16" t="s">
        <v>917</v>
      </c>
      <c r="C16">
        <v>24</v>
      </c>
      <c r="D16" s="276"/>
    </row>
    <row r="17" spans="2:16">
      <c r="B17" t="s">
        <v>918</v>
      </c>
      <c r="C17">
        <v>26.3</v>
      </c>
      <c r="D17" s="276"/>
    </row>
    <row r="18" spans="2:16">
      <c r="B18" t="s">
        <v>919</v>
      </c>
      <c r="C18">
        <v>243.5</v>
      </c>
      <c r="D18" s="276"/>
    </row>
    <row r="19" spans="2:16">
      <c r="B19" t="s">
        <v>920</v>
      </c>
      <c r="C19">
        <v>15.9</v>
      </c>
      <c r="D19" s="276"/>
    </row>
    <row r="20" spans="2:16">
      <c r="B20" t="s">
        <v>921</v>
      </c>
      <c r="C20">
        <v>6.1</v>
      </c>
      <c r="D20" s="276"/>
    </row>
    <row r="21" spans="2:16">
      <c r="B21" t="s">
        <v>922</v>
      </c>
      <c r="C21">
        <v>60</v>
      </c>
      <c r="D21" s="276"/>
    </row>
    <row r="22" spans="2:16">
      <c r="B22" t="s">
        <v>923</v>
      </c>
      <c r="C22">
        <v>2340</v>
      </c>
      <c r="D22" s="276"/>
    </row>
    <row r="23" spans="2:16">
      <c r="B23" t="s">
        <v>310</v>
      </c>
      <c r="C23">
        <f>SUM(C9:C22)</f>
        <v>3262.3</v>
      </c>
      <c r="D23" s="276">
        <f>C23/C25/12*1000</f>
        <v>5.9363547364551827</v>
      </c>
    </row>
    <row r="24" spans="2:16">
      <c r="D24" s="276"/>
    </row>
    <row r="25" spans="2:16">
      <c r="B25" t="s">
        <v>924</v>
      </c>
      <c r="C25">
        <v>45795.5</v>
      </c>
      <c r="D25" s="276"/>
    </row>
    <row r="26" spans="2:16">
      <c r="B26" t="s">
        <v>925</v>
      </c>
      <c r="C26">
        <v>7210.8</v>
      </c>
      <c r="D26" s="276"/>
    </row>
    <row r="27" spans="2:16">
      <c r="B27" t="s">
        <v>926</v>
      </c>
      <c r="C27">
        <v>45797.5</v>
      </c>
      <c r="D27" s="276"/>
    </row>
    <row r="31" spans="2:16">
      <c r="B31" s="127" t="s">
        <v>952</v>
      </c>
      <c r="C31" s="127" t="s">
        <v>937</v>
      </c>
      <c r="D31" s="127" t="s">
        <v>938</v>
      </c>
      <c r="E31" s="127" t="s">
        <v>939</v>
      </c>
      <c r="F31" s="127" t="s">
        <v>940</v>
      </c>
      <c r="G31" s="127" t="s">
        <v>941</v>
      </c>
      <c r="H31" s="127" t="s">
        <v>942</v>
      </c>
      <c r="I31" s="127" t="s">
        <v>943</v>
      </c>
      <c r="J31" s="127" t="s">
        <v>944</v>
      </c>
      <c r="K31" s="127" t="s">
        <v>945</v>
      </c>
      <c r="L31" s="127" t="s">
        <v>946</v>
      </c>
      <c r="M31" s="127" t="s">
        <v>947</v>
      </c>
      <c r="N31" s="127" t="s">
        <v>948</v>
      </c>
      <c r="O31" s="127"/>
      <c r="P31" s="127" t="s">
        <v>310</v>
      </c>
    </row>
    <row r="32" spans="2:16">
      <c r="B32" s="127" t="s">
        <v>927</v>
      </c>
      <c r="C32" s="127"/>
      <c r="D32" s="127"/>
      <c r="E32" s="127"/>
      <c r="F32" s="127"/>
      <c r="G32" s="127"/>
      <c r="H32" s="127"/>
      <c r="I32" s="127"/>
      <c r="J32" s="127"/>
      <c r="K32" s="127">
        <f>6+6+7+5</f>
        <v>24</v>
      </c>
      <c r="L32" s="127">
        <f>4+6+5+6+8</f>
        <v>29</v>
      </c>
      <c r="M32" s="127">
        <f>3+6+7+6+5</f>
        <v>27</v>
      </c>
      <c r="N32" s="127"/>
      <c r="O32" s="289">
        <f>(K32+L32+M32)/3</f>
        <v>26.666666666666668</v>
      </c>
      <c r="P32" s="290">
        <f>O32*P45</f>
        <v>92.552401280683014</v>
      </c>
    </row>
    <row r="33" spans="2:16">
      <c r="B33" s="127" t="s">
        <v>928</v>
      </c>
      <c r="C33" s="127"/>
      <c r="D33" s="127"/>
      <c r="E33" s="127"/>
      <c r="F33" s="127"/>
      <c r="G33" s="127"/>
      <c r="H33" s="127"/>
      <c r="I33" s="127"/>
      <c r="J33" s="127"/>
      <c r="K33" s="127">
        <f>7+6+7+5</f>
        <v>25</v>
      </c>
      <c r="L33" s="127">
        <f>4+5+5+5+6</f>
        <v>25</v>
      </c>
      <c r="M33" s="127">
        <f>3+5+6+5+5</f>
        <v>24</v>
      </c>
      <c r="N33" s="127"/>
      <c r="O33" s="289">
        <f t="shared" ref="O33" si="0">(K33+L33+M33)/3</f>
        <v>24.666666666666668</v>
      </c>
      <c r="P33" s="290">
        <f>O33*P45</f>
        <v>85.610971184631794</v>
      </c>
    </row>
    <row r="34" spans="2:16">
      <c r="B34" s="127" t="s">
        <v>929</v>
      </c>
      <c r="C34" s="127"/>
      <c r="D34" s="127"/>
      <c r="E34" s="127"/>
      <c r="F34" s="127"/>
      <c r="G34" s="127"/>
      <c r="H34" s="127"/>
      <c r="I34" s="127"/>
      <c r="J34" s="127"/>
      <c r="K34" s="127">
        <f>8+9+8+9</f>
        <v>34</v>
      </c>
      <c r="L34" s="127">
        <f>5+9+9+8+7</f>
        <v>38</v>
      </c>
      <c r="M34" s="127">
        <f>4+8+8+8+12</f>
        <v>40</v>
      </c>
      <c r="N34" s="127">
        <f>2+2+2+1+2+2+2+1+2+1+2+2+2+1+1+2+2+2+2+2+1+2+2+2</f>
        <v>42</v>
      </c>
      <c r="O34" s="289">
        <f>(L34+M34+N34)/3</f>
        <v>40</v>
      </c>
      <c r="P34" s="290">
        <f>O34*P45</f>
        <v>138.82860192102453</v>
      </c>
    </row>
    <row r="35" spans="2:16">
      <c r="B35" s="127" t="s">
        <v>930</v>
      </c>
      <c r="C35" s="127"/>
      <c r="D35" s="127"/>
      <c r="E35" s="127"/>
      <c r="F35" s="127"/>
      <c r="G35" s="127"/>
      <c r="H35" s="127"/>
      <c r="I35" s="127"/>
      <c r="J35" s="127"/>
      <c r="K35" s="127">
        <f>15+15+15+15</f>
        <v>60</v>
      </c>
      <c r="L35" s="127">
        <f>12+18+17+16+12</f>
        <v>75</v>
      </c>
      <c r="M35" s="127">
        <f>7+16+15+13+13</f>
        <v>64</v>
      </c>
      <c r="N35" s="127">
        <f>3+2+3+2+3+3+3+3+2+3+3+3+3+3+3+4+3+3+3+3+3+3+3</f>
        <v>67</v>
      </c>
      <c r="O35" s="289">
        <f t="shared" ref="O35:O44" si="1">(L35+M35+N35)/3</f>
        <v>68.666666666666671</v>
      </c>
      <c r="P35" s="290">
        <f>O35*P45</f>
        <v>238.32243329775878</v>
      </c>
    </row>
    <row r="36" spans="2:16">
      <c r="B36" s="127" t="s">
        <v>931</v>
      </c>
      <c r="C36" s="127"/>
      <c r="D36" s="127"/>
      <c r="E36" s="127"/>
      <c r="F36" s="127"/>
      <c r="G36" s="127"/>
      <c r="H36" s="127"/>
      <c r="I36" s="127"/>
      <c r="J36" s="127"/>
      <c r="K36" s="127">
        <f>8+8+12+6</f>
        <v>34</v>
      </c>
      <c r="L36" s="127">
        <f>3+6+7+7+6</f>
        <v>29</v>
      </c>
      <c r="M36" s="127">
        <f>3+9+9+8+9</f>
        <v>38</v>
      </c>
      <c r="N36" s="127">
        <v>33</v>
      </c>
      <c r="O36" s="289">
        <f t="shared" si="1"/>
        <v>33.333333333333336</v>
      </c>
      <c r="P36" s="290">
        <f>O36*P45</f>
        <v>115.69050160085378</v>
      </c>
    </row>
    <row r="37" spans="2:16">
      <c r="B37" s="127" t="s">
        <v>932</v>
      </c>
      <c r="C37" s="127"/>
      <c r="D37" s="127"/>
      <c r="E37" s="127"/>
      <c r="F37" s="127"/>
      <c r="G37" s="127"/>
      <c r="H37" s="127"/>
      <c r="I37" s="127"/>
      <c r="J37" s="127"/>
      <c r="K37" s="127">
        <f>7+6+7+4</f>
        <v>24</v>
      </c>
      <c r="L37" s="127">
        <f>3+5+5+5+4</f>
        <v>22</v>
      </c>
      <c r="M37" s="127">
        <f>2+5+5+5+5</f>
        <v>22</v>
      </c>
      <c r="N37" s="127">
        <v>22</v>
      </c>
      <c r="O37" s="289">
        <f t="shared" si="1"/>
        <v>22</v>
      </c>
      <c r="P37" s="290">
        <f>O37*P45</f>
        <v>76.355731056563485</v>
      </c>
    </row>
    <row r="38" spans="2:16">
      <c r="B38" s="127" t="s">
        <v>949</v>
      </c>
      <c r="C38" s="127"/>
      <c r="D38" s="127"/>
      <c r="E38" s="127"/>
      <c r="F38" s="127"/>
      <c r="G38" s="127"/>
      <c r="H38" s="127"/>
      <c r="I38" s="127"/>
      <c r="J38" s="127"/>
      <c r="K38" s="127">
        <f>15+15+17+16</f>
        <v>63</v>
      </c>
      <c r="L38" s="127">
        <f>9+15+15+15+13</f>
        <v>67</v>
      </c>
      <c r="M38" s="127">
        <f>5+14+14+13+14</f>
        <v>60</v>
      </c>
      <c r="N38" s="127">
        <f>17*3+5*2</f>
        <v>61</v>
      </c>
      <c r="O38" s="289">
        <f t="shared" si="1"/>
        <v>62.666666666666664</v>
      </c>
      <c r="P38" s="290">
        <f>O38*P45</f>
        <v>217.49814300960509</v>
      </c>
    </row>
    <row r="39" spans="2:16">
      <c r="B39" s="127" t="s">
        <v>950</v>
      </c>
      <c r="C39" s="127"/>
      <c r="D39" s="127"/>
      <c r="E39" s="127"/>
      <c r="F39" s="127"/>
      <c r="G39" s="127"/>
      <c r="H39" s="127"/>
      <c r="I39" s="127"/>
      <c r="J39" s="127"/>
      <c r="K39" s="127">
        <f>2+1+2</f>
        <v>5</v>
      </c>
      <c r="L39" s="127">
        <f>2+2+2+2+1</f>
        <v>9</v>
      </c>
      <c r="M39" s="127">
        <f>1+2+3+2+2</f>
        <v>10</v>
      </c>
      <c r="N39" s="127">
        <v>11</v>
      </c>
      <c r="O39" s="289">
        <f t="shared" si="1"/>
        <v>10</v>
      </c>
      <c r="P39" s="290">
        <f>O39*P45</f>
        <v>34.707150480256132</v>
      </c>
    </row>
    <row r="40" spans="2:16">
      <c r="B40" s="127" t="s">
        <v>951</v>
      </c>
      <c r="C40" s="127"/>
      <c r="D40" s="127"/>
      <c r="E40" s="127"/>
      <c r="F40" s="127"/>
      <c r="G40" s="127"/>
      <c r="H40" s="127"/>
      <c r="I40" s="127"/>
      <c r="J40" s="127"/>
      <c r="K40" s="127">
        <f>2+2+2+2</f>
        <v>8</v>
      </c>
      <c r="L40" s="127">
        <f>1+2+2+2+1</f>
        <v>8</v>
      </c>
      <c r="M40" s="127">
        <f>1+2+2+2+2</f>
        <v>9</v>
      </c>
      <c r="N40" s="127">
        <v>9</v>
      </c>
      <c r="O40" s="289">
        <f t="shared" si="1"/>
        <v>8.6666666666666661</v>
      </c>
      <c r="P40" s="290">
        <f>O40*P45</f>
        <v>30.079530416221978</v>
      </c>
    </row>
    <row r="41" spans="2:16">
      <c r="B41" s="127" t="s">
        <v>933</v>
      </c>
      <c r="C41" s="127"/>
      <c r="D41" s="127"/>
      <c r="E41" s="127"/>
      <c r="F41" s="127"/>
      <c r="G41" s="127"/>
      <c r="H41" s="127"/>
      <c r="I41" s="127"/>
      <c r="J41" s="127"/>
      <c r="K41" s="127">
        <f>1+1</f>
        <v>2</v>
      </c>
      <c r="L41" s="127">
        <f>1+1+1+1+1</f>
        <v>5</v>
      </c>
      <c r="M41" s="127">
        <f>2+1+1+1</f>
        <v>5</v>
      </c>
      <c r="N41" s="127">
        <v>4</v>
      </c>
      <c r="O41" s="289">
        <f t="shared" si="1"/>
        <v>4.666666666666667</v>
      </c>
      <c r="P41" s="290">
        <f>O41*P45</f>
        <v>16.196670224119529</v>
      </c>
    </row>
    <row r="42" spans="2:16">
      <c r="B42" s="127" t="s">
        <v>934</v>
      </c>
      <c r="C42" s="127"/>
      <c r="D42" s="127"/>
      <c r="E42" s="127"/>
      <c r="F42" s="127"/>
      <c r="G42" s="127"/>
      <c r="H42" s="127"/>
      <c r="I42" s="127"/>
      <c r="J42" s="127"/>
      <c r="K42" s="127">
        <f>1+1</f>
        <v>2</v>
      </c>
      <c r="L42" s="127">
        <f>1+1</f>
        <v>2</v>
      </c>
      <c r="M42" s="127">
        <f>1+1</f>
        <v>2</v>
      </c>
      <c r="N42" s="127">
        <v>3</v>
      </c>
      <c r="O42" s="289">
        <f t="shared" si="1"/>
        <v>2.3333333333333335</v>
      </c>
      <c r="P42" s="290">
        <f>O42*P45</f>
        <v>8.0983351120597646</v>
      </c>
    </row>
    <row r="43" spans="2:16">
      <c r="B43" s="127" t="s">
        <v>935</v>
      </c>
      <c r="C43" s="127"/>
      <c r="D43" s="127"/>
      <c r="E43" s="127"/>
      <c r="F43" s="127"/>
      <c r="G43" s="127"/>
      <c r="H43" s="127"/>
      <c r="I43" s="127"/>
      <c r="J43" s="127"/>
      <c r="K43" s="127">
        <f>1+1+1+1</f>
        <v>4</v>
      </c>
      <c r="L43" s="127">
        <f>1+1+1+2</f>
        <v>5</v>
      </c>
      <c r="M43" s="127">
        <f>1+1+1+1</f>
        <v>4</v>
      </c>
      <c r="N43" s="127">
        <v>3</v>
      </c>
      <c r="O43" s="289">
        <f t="shared" si="1"/>
        <v>4</v>
      </c>
      <c r="P43" s="290">
        <f>O43*P45</f>
        <v>13.882860192102452</v>
      </c>
    </row>
    <row r="44" spans="2:16">
      <c r="B44" s="127" t="s">
        <v>936</v>
      </c>
      <c r="C44" s="127"/>
      <c r="D44" s="127"/>
      <c r="E44" s="127"/>
      <c r="F44" s="127"/>
      <c r="G44" s="127"/>
      <c r="H44" s="127"/>
      <c r="I44" s="127"/>
      <c r="J44" s="127"/>
      <c r="K44" s="127">
        <f>1+1</f>
        <v>2</v>
      </c>
      <c r="L44" s="127">
        <f>1+1+1+1</f>
        <v>4</v>
      </c>
      <c r="M44" s="127">
        <f>1+1+1+1+1</f>
        <v>5</v>
      </c>
      <c r="N44" s="127">
        <v>5</v>
      </c>
      <c r="O44" s="289">
        <f t="shared" si="1"/>
        <v>4.666666666666667</v>
      </c>
      <c r="P44" s="290">
        <f>O44*P45</f>
        <v>16.196670224119529</v>
      </c>
    </row>
    <row r="45" spans="2:16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289">
        <f>SUM(O32:O44)</f>
        <v>312.33333333333337</v>
      </c>
      <c r="P45" s="290">
        <f>C2/O45</f>
        <v>3.470715048025613</v>
      </c>
    </row>
    <row r="46" spans="2:16">
      <c r="B46" s="147" t="s">
        <v>953</v>
      </c>
      <c r="C46" s="147" t="s">
        <v>937</v>
      </c>
      <c r="D46" s="147" t="s">
        <v>938</v>
      </c>
      <c r="E46" s="147" t="s">
        <v>939</v>
      </c>
      <c r="F46" s="147" t="s">
        <v>940</v>
      </c>
      <c r="G46" s="147" t="s">
        <v>941</v>
      </c>
      <c r="H46" s="147" t="s">
        <v>942</v>
      </c>
      <c r="I46" s="147" t="s">
        <v>943</v>
      </c>
      <c r="J46" s="147" t="s">
        <v>944</v>
      </c>
      <c r="K46" s="147" t="s">
        <v>945</v>
      </c>
      <c r="L46" s="147" t="s">
        <v>946</v>
      </c>
      <c r="M46" s="147" t="s">
        <v>947</v>
      </c>
      <c r="N46" s="147" t="s">
        <v>948</v>
      </c>
      <c r="O46" s="147" t="s">
        <v>310</v>
      </c>
    </row>
    <row r="47" spans="2:16">
      <c r="B47" s="127" t="s">
        <v>954</v>
      </c>
      <c r="C47" s="288">
        <f>3119*1.86</f>
        <v>5801.34</v>
      </c>
      <c r="D47" s="127"/>
      <c r="E47" s="127">
        <v>11152.56</v>
      </c>
      <c r="F47" s="127">
        <v>-2832.78</v>
      </c>
      <c r="G47" s="127">
        <v>2747.22</v>
      </c>
      <c r="H47" s="127">
        <v>2365.92</v>
      </c>
      <c r="I47" s="127">
        <v>-840.18</v>
      </c>
      <c r="J47" s="127">
        <v>1500</v>
      </c>
      <c r="K47" s="127">
        <v>2500</v>
      </c>
      <c r="L47" s="127">
        <v>5800</v>
      </c>
      <c r="M47" s="127">
        <v>5800</v>
      </c>
      <c r="N47" s="127">
        <v>11045.65</v>
      </c>
      <c r="O47" s="127">
        <f>N47+M47+L47+K47+J47+I47+H47+G47+F47+E47+D47+C47</f>
        <v>45039.729999999996</v>
      </c>
    </row>
    <row r="48" spans="2:16">
      <c r="B48" s="127" t="s">
        <v>950</v>
      </c>
      <c r="C48" s="288">
        <v>57.66</v>
      </c>
      <c r="D48" s="127">
        <v>57.66</v>
      </c>
      <c r="E48" s="127">
        <v>57.66</v>
      </c>
      <c r="F48" s="127">
        <v>57.66</v>
      </c>
      <c r="G48" s="127">
        <v>57.66</v>
      </c>
      <c r="H48" s="127">
        <v>37.200000000000003</v>
      </c>
      <c r="I48" s="127"/>
      <c r="J48" s="127"/>
      <c r="K48" s="127"/>
      <c r="L48" s="127"/>
      <c r="M48" s="127"/>
      <c r="N48" s="127"/>
      <c r="O48" s="127">
        <f t="shared" ref="O48:O79" si="2">N48+M48+L48+K48+J48+I48+H48+G48+F48+E48+D48+C48</f>
        <v>325.5</v>
      </c>
    </row>
    <row r="49" spans="2:15">
      <c r="B49" s="127" t="s">
        <v>972</v>
      </c>
      <c r="C49" s="288">
        <v>2091.59</v>
      </c>
      <c r="D49" s="127">
        <v>2091.59</v>
      </c>
      <c r="E49" s="127">
        <v>2091.59</v>
      </c>
      <c r="F49" s="127">
        <v>2091</v>
      </c>
      <c r="G49" s="127">
        <v>-861.67</v>
      </c>
      <c r="H49" s="127">
        <v>1190.68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f t="shared" si="2"/>
        <v>8694.7800000000007</v>
      </c>
    </row>
    <row r="50" spans="2:15">
      <c r="B50" s="127" t="s">
        <v>949</v>
      </c>
      <c r="C50" s="288">
        <v>1437.78</v>
      </c>
      <c r="D50" s="127">
        <v>1437.78</v>
      </c>
      <c r="E50" s="127">
        <v>1437.78</v>
      </c>
      <c r="F50" s="127">
        <v>1437.78</v>
      </c>
      <c r="G50" s="127">
        <v>18.600000000000001</v>
      </c>
      <c r="H50" s="127">
        <v>1567.98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f t="shared" si="2"/>
        <v>7337.6999999999989</v>
      </c>
    </row>
    <row r="51" spans="2:15">
      <c r="B51" s="127" t="s">
        <v>955</v>
      </c>
      <c r="C51" s="288">
        <v>2086.92</v>
      </c>
      <c r="D51" s="127">
        <v>2086.92</v>
      </c>
      <c r="E51" s="127">
        <v>2086.92</v>
      </c>
      <c r="F51" s="127">
        <v>2086.92</v>
      </c>
      <c r="G51" s="127">
        <v>8038.92</v>
      </c>
      <c r="H51" s="127">
        <v>-243.66</v>
      </c>
      <c r="I51" s="127">
        <v>-2106.7199999999998</v>
      </c>
      <c r="J51" s="127">
        <v>2086</v>
      </c>
      <c r="K51" s="127">
        <v>4500</v>
      </c>
      <c r="L51" s="127">
        <v>4500</v>
      </c>
      <c r="M51" s="127">
        <v>6779</v>
      </c>
      <c r="N51" s="127">
        <v>6779.95</v>
      </c>
      <c r="O51" s="127">
        <f t="shared" si="2"/>
        <v>38681.169999999991</v>
      </c>
    </row>
    <row r="52" spans="2:15">
      <c r="B52" s="127" t="s">
        <v>956</v>
      </c>
      <c r="C52" s="288">
        <v>2086.92</v>
      </c>
      <c r="D52" s="127">
        <v>2086.92</v>
      </c>
      <c r="E52" s="127">
        <v>2086.92</v>
      </c>
      <c r="F52" s="127">
        <v>2086.92</v>
      </c>
      <c r="G52" s="127">
        <v>6956.4</v>
      </c>
      <c r="H52" s="127">
        <v>4517.9399999999996</v>
      </c>
      <c r="I52" s="127">
        <v>-171.38</v>
      </c>
      <c r="J52" s="127">
        <v>2086</v>
      </c>
      <c r="K52" s="127">
        <v>4500</v>
      </c>
      <c r="L52" s="127">
        <v>4500</v>
      </c>
      <c r="M52" s="127">
        <v>4500</v>
      </c>
      <c r="N52" s="127">
        <v>5676.44</v>
      </c>
      <c r="O52" s="127">
        <f t="shared" si="2"/>
        <v>40913.079999999987</v>
      </c>
    </row>
    <row r="53" spans="2:15">
      <c r="B53" s="127" t="s">
        <v>957</v>
      </c>
      <c r="C53" s="288">
        <v>202.74</v>
      </c>
      <c r="D53" s="127">
        <v>202.74</v>
      </c>
      <c r="E53" s="127">
        <v>202.74</v>
      </c>
      <c r="F53" s="127">
        <v>202.74</v>
      </c>
      <c r="G53" s="127">
        <v>202.74</v>
      </c>
      <c r="H53" s="127">
        <v>132.06</v>
      </c>
      <c r="I53" s="127">
        <v>148.38999999999999</v>
      </c>
      <c r="J53" s="127">
        <v>148.38999999999999</v>
      </c>
      <c r="K53" s="127">
        <v>148.38999999999999</v>
      </c>
      <c r="L53" s="127">
        <v>148.38999999999999</v>
      </c>
      <c r="M53" s="127">
        <v>1500</v>
      </c>
      <c r="N53" s="127">
        <v>1550.78</v>
      </c>
      <c r="O53" s="127">
        <f t="shared" si="2"/>
        <v>4790.0999999999985</v>
      </c>
    </row>
    <row r="54" spans="2:15">
      <c r="B54" s="127" t="s">
        <v>958</v>
      </c>
      <c r="C54" s="288">
        <v>199.02</v>
      </c>
      <c r="D54" s="127">
        <v>199.02</v>
      </c>
      <c r="E54" s="127">
        <v>199.02</v>
      </c>
      <c r="F54" s="127">
        <v>199.02</v>
      </c>
      <c r="G54" s="127">
        <v>199.02</v>
      </c>
      <c r="H54" s="127">
        <v>132.06</v>
      </c>
      <c r="I54" s="127">
        <v>148.38999999999999</v>
      </c>
      <c r="J54" s="127">
        <v>148.38999999999999</v>
      </c>
      <c r="K54" s="127">
        <v>148.38999999999999</v>
      </c>
      <c r="L54" s="127">
        <v>148.38999999999999</v>
      </c>
      <c r="M54" s="127">
        <v>2500</v>
      </c>
      <c r="N54" s="127">
        <v>2675.2</v>
      </c>
      <c r="O54" s="127">
        <f t="shared" si="2"/>
        <v>6895.9200000000037</v>
      </c>
    </row>
    <row r="55" spans="2:15">
      <c r="B55" s="127" t="s">
        <v>959</v>
      </c>
      <c r="C55" s="288">
        <v>202.74</v>
      </c>
      <c r="D55" s="127">
        <v>202.74</v>
      </c>
      <c r="E55" s="127">
        <v>202.74</v>
      </c>
      <c r="F55" s="127">
        <v>202.74</v>
      </c>
      <c r="G55" s="127">
        <v>202.74</v>
      </c>
      <c r="H55" s="127">
        <v>132.06</v>
      </c>
      <c r="I55" s="127">
        <v>148.38999999999999</v>
      </c>
      <c r="J55" s="127">
        <v>148.38999999999999</v>
      </c>
      <c r="K55" s="127">
        <v>148.38999999999999</v>
      </c>
      <c r="L55" s="127">
        <v>148.38999999999999</v>
      </c>
      <c r="M55" s="127">
        <v>1100</v>
      </c>
      <c r="N55" s="127">
        <v>1174.58</v>
      </c>
      <c r="O55" s="127">
        <f t="shared" si="2"/>
        <v>4013.8999999999987</v>
      </c>
    </row>
    <row r="56" spans="2:15">
      <c r="B56" s="127" t="s">
        <v>960</v>
      </c>
      <c r="C56" s="288">
        <v>205.26</v>
      </c>
      <c r="D56" s="127">
        <v>205.26</v>
      </c>
      <c r="E56" s="127">
        <v>205.26</v>
      </c>
      <c r="F56" s="127">
        <v>189.72</v>
      </c>
      <c r="G56" s="127">
        <v>205.13</v>
      </c>
      <c r="H56" s="127">
        <v>133.69</v>
      </c>
      <c r="I56" s="127">
        <v>149.11000000000001</v>
      </c>
      <c r="J56" s="127">
        <v>149.11000000000001</v>
      </c>
      <c r="K56" s="127">
        <v>149.11000000000001</v>
      </c>
      <c r="L56" s="127">
        <v>149.11000000000001</v>
      </c>
      <c r="M56" s="127">
        <v>2300</v>
      </c>
      <c r="N56" s="127">
        <v>2304.54</v>
      </c>
      <c r="O56" s="127">
        <f t="shared" si="2"/>
        <v>6345.2999999999993</v>
      </c>
    </row>
    <row r="57" spans="2:15">
      <c r="B57" s="127" t="s">
        <v>961</v>
      </c>
      <c r="C57" s="288">
        <f>(3869.7-3721.7)*1.86</f>
        <v>275.28000000000003</v>
      </c>
      <c r="D57" s="76">
        <v>1542</v>
      </c>
      <c r="E57" s="127">
        <v>1980.9</v>
      </c>
      <c r="F57" s="127">
        <v>349.68</v>
      </c>
      <c r="G57" s="127">
        <v>632.4</v>
      </c>
      <c r="H57" s="127">
        <v>3057.84</v>
      </c>
      <c r="I57" s="127">
        <v>-2647.71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f t="shared" si="2"/>
        <v>5190.3900000000003</v>
      </c>
    </row>
    <row r="58" spans="2:15">
      <c r="B58" s="127" t="s">
        <v>962</v>
      </c>
      <c r="C58" s="288">
        <v>1776.3</v>
      </c>
      <c r="D58" s="127">
        <v>1776.3</v>
      </c>
      <c r="E58" s="127">
        <v>1776.3</v>
      </c>
      <c r="F58" s="127">
        <v>1776.3</v>
      </c>
      <c r="G58" s="127">
        <v>1776.3</v>
      </c>
      <c r="H58" s="127">
        <v>1166.22</v>
      </c>
      <c r="I58" s="127">
        <v>1310.43</v>
      </c>
      <c r="J58" s="127">
        <v>1310.43</v>
      </c>
      <c r="K58" s="127">
        <v>1310.43</v>
      </c>
      <c r="L58" s="127">
        <v>1310.43</v>
      </c>
      <c r="M58" s="127">
        <v>1310.43</v>
      </c>
      <c r="N58" s="127">
        <v>1310.43</v>
      </c>
      <c r="O58" s="127">
        <f t="shared" si="2"/>
        <v>17910.3</v>
      </c>
    </row>
    <row r="59" spans="2:15">
      <c r="B59" s="127" t="s">
        <v>963</v>
      </c>
      <c r="C59" s="288">
        <v>1517.76</v>
      </c>
      <c r="D59" s="127">
        <v>1517.76</v>
      </c>
      <c r="E59" s="127">
        <v>1517.76</v>
      </c>
      <c r="F59" s="127">
        <v>1517.76</v>
      </c>
      <c r="G59" s="127">
        <v>1517.76</v>
      </c>
      <c r="H59" s="127">
        <v>996.96</v>
      </c>
      <c r="I59" s="127">
        <v>1120.24</v>
      </c>
      <c r="J59" s="127">
        <v>1120.24</v>
      </c>
      <c r="K59" s="127">
        <v>1120.24</v>
      </c>
      <c r="L59" s="127">
        <v>1120.24</v>
      </c>
      <c r="M59" s="127">
        <v>1120.24</v>
      </c>
      <c r="N59" s="127">
        <v>1120.24</v>
      </c>
      <c r="O59" s="127">
        <f t="shared" si="2"/>
        <v>15307.2</v>
      </c>
    </row>
    <row r="60" spans="2:15">
      <c r="B60" s="127" t="s">
        <v>964</v>
      </c>
      <c r="C60" s="288">
        <v>57.66</v>
      </c>
      <c r="D60" s="127">
        <v>57.66</v>
      </c>
      <c r="E60" s="127">
        <v>57.66</v>
      </c>
      <c r="F60" s="127">
        <v>57.66</v>
      </c>
      <c r="G60" s="127">
        <v>57.66</v>
      </c>
      <c r="H60" s="127">
        <v>37.200000000000003</v>
      </c>
      <c r="I60" s="127">
        <v>41.8</v>
      </c>
      <c r="J60" s="127">
        <v>41.8</v>
      </c>
      <c r="K60" s="127">
        <v>41.8</v>
      </c>
      <c r="L60" s="127">
        <v>41.8</v>
      </c>
      <c r="M60" s="127">
        <v>41.8</v>
      </c>
      <c r="N60" s="127">
        <v>41.8</v>
      </c>
      <c r="O60" s="127">
        <f t="shared" si="2"/>
        <v>576.29999999999984</v>
      </c>
    </row>
    <row r="61" spans="2:15">
      <c r="B61" s="127" t="s">
        <v>975</v>
      </c>
      <c r="C61" s="288">
        <v>57.66</v>
      </c>
      <c r="D61" s="127">
        <v>57.66</v>
      </c>
      <c r="E61" s="127">
        <v>57.66</v>
      </c>
      <c r="F61" s="127">
        <v>57.66</v>
      </c>
      <c r="G61" s="127">
        <v>57.66</v>
      </c>
      <c r="H61" s="127">
        <v>37.200000000000003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f t="shared" si="2"/>
        <v>325.5</v>
      </c>
    </row>
    <row r="62" spans="2:15">
      <c r="B62" s="127" t="s">
        <v>976</v>
      </c>
      <c r="C62" s="288">
        <v>115.32</v>
      </c>
      <c r="D62" s="127">
        <v>115.32</v>
      </c>
      <c r="E62" s="127">
        <v>115.32</v>
      </c>
      <c r="F62" s="127">
        <v>115.32</v>
      </c>
      <c r="G62" s="127">
        <v>115.32</v>
      </c>
      <c r="H62" s="127">
        <v>76.260000000000005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f t="shared" si="2"/>
        <v>652.8599999999999</v>
      </c>
    </row>
    <row r="63" spans="2:15">
      <c r="B63" s="127" t="s">
        <v>965</v>
      </c>
      <c r="C63" s="288">
        <v>133.91999999999999</v>
      </c>
      <c r="D63" s="127">
        <v>133.91999999999999</v>
      </c>
      <c r="E63" s="127">
        <v>133.91999999999999</v>
      </c>
      <c r="F63" s="127">
        <v>133.91999999999999</v>
      </c>
      <c r="G63" s="127">
        <v>1024.8599999999999</v>
      </c>
      <c r="H63" s="127">
        <v>254.82</v>
      </c>
      <c r="I63" s="127">
        <v>-1262.3599999999999</v>
      </c>
      <c r="J63" s="127">
        <v>133</v>
      </c>
      <c r="K63" s="127">
        <v>560</v>
      </c>
      <c r="L63" s="127">
        <v>560</v>
      </c>
      <c r="M63" s="127">
        <v>560</v>
      </c>
      <c r="N63" s="127">
        <v>537.13</v>
      </c>
      <c r="O63" s="127">
        <f t="shared" si="2"/>
        <v>2903.13</v>
      </c>
    </row>
    <row r="64" spans="2:15">
      <c r="B64" s="127" t="s">
        <v>929</v>
      </c>
      <c r="C64" s="288">
        <v>133.91999999999999</v>
      </c>
      <c r="D64" s="127">
        <v>133.91999999999999</v>
      </c>
      <c r="E64" s="127">
        <v>133.91999999999999</v>
      </c>
      <c r="F64" s="127">
        <v>-3281.04</v>
      </c>
      <c r="G64" s="127">
        <v>133.91999999999999</v>
      </c>
      <c r="H64" s="127">
        <v>995.1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f t="shared" si="2"/>
        <v>-1750.2599999999998</v>
      </c>
    </row>
    <row r="65" spans="2:18">
      <c r="B65" s="127" t="s">
        <v>966</v>
      </c>
      <c r="C65" s="288">
        <v>133.91999999999999</v>
      </c>
      <c r="D65" s="127">
        <v>133.91999999999999</v>
      </c>
      <c r="E65" s="127">
        <v>133.91999999999999</v>
      </c>
      <c r="F65" s="127">
        <v>133.91999999999999</v>
      </c>
      <c r="G65" s="127">
        <v>-1.86</v>
      </c>
      <c r="H65" s="127">
        <v>967.2</v>
      </c>
      <c r="I65" s="127">
        <v>-988.57</v>
      </c>
      <c r="J65" s="127">
        <v>133</v>
      </c>
      <c r="K65" s="127">
        <v>960</v>
      </c>
      <c r="L65" s="127">
        <v>960</v>
      </c>
      <c r="M65" s="127">
        <v>960</v>
      </c>
      <c r="N65" s="127">
        <v>133.76</v>
      </c>
      <c r="O65" s="127">
        <f t="shared" si="2"/>
        <v>3659.2100000000005</v>
      </c>
    </row>
    <row r="66" spans="2:18">
      <c r="B66" s="127" t="s">
        <v>931</v>
      </c>
      <c r="C66" s="288">
        <v>133.91999999999999</v>
      </c>
      <c r="D66" s="127">
        <v>133.91999999999999</v>
      </c>
      <c r="E66" s="127">
        <v>133.91999999999999</v>
      </c>
      <c r="F66" s="127">
        <v>133.91999999999999</v>
      </c>
      <c r="G66" s="127">
        <v>2120.4</v>
      </c>
      <c r="H66" s="127">
        <v>5360.52</v>
      </c>
      <c r="I66" s="127">
        <v>1504.8</v>
      </c>
      <c r="J66" s="127">
        <v>133</v>
      </c>
      <c r="K66" s="127">
        <v>1500</v>
      </c>
      <c r="L66" s="127">
        <v>2000</v>
      </c>
      <c r="M66" s="127">
        <v>2000</v>
      </c>
      <c r="N66" s="127">
        <v>98.23</v>
      </c>
      <c r="O66" s="127">
        <f t="shared" si="2"/>
        <v>15252.63</v>
      </c>
    </row>
    <row r="67" spans="2:18">
      <c r="B67" s="127" t="s">
        <v>977</v>
      </c>
      <c r="C67" s="288">
        <v>133.91999999999999</v>
      </c>
      <c r="D67" s="127">
        <v>133.91999999999999</v>
      </c>
      <c r="E67" s="127">
        <v>133.91999999999999</v>
      </c>
      <c r="F67" s="127">
        <v>133.91999999999999</v>
      </c>
      <c r="G67" s="127">
        <v>3150.84</v>
      </c>
      <c r="H67" s="127">
        <v>1886.04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f t="shared" si="2"/>
        <v>5572.56</v>
      </c>
    </row>
    <row r="68" spans="2:18">
      <c r="B68" s="127" t="s">
        <v>967</v>
      </c>
      <c r="C68" s="288">
        <v>61.38</v>
      </c>
      <c r="D68" s="127">
        <v>61.38</v>
      </c>
      <c r="E68" s="127">
        <v>61.38</v>
      </c>
      <c r="F68" s="127">
        <v>61.38</v>
      </c>
      <c r="G68" s="127">
        <v>61.38</v>
      </c>
      <c r="H68" s="127">
        <v>40.92</v>
      </c>
      <c r="I68" s="127">
        <v>45.98</v>
      </c>
      <c r="J68" s="127">
        <v>45.98</v>
      </c>
      <c r="K68" s="127">
        <v>45.98</v>
      </c>
      <c r="L68" s="127">
        <v>45.98</v>
      </c>
      <c r="M68" s="127">
        <v>45.98</v>
      </c>
      <c r="N68" s="127"/>
      <c r="O68" s="127">
        <f t="shared" si="2"/>
        <v>577.72</v>
      </c>
    </row>
    <row r="69" spans="2:18">
      <c r="B69" s="127" t="s">
        <v>613</v>
      </c>
      <c r="C69" s="288">
        <v>2086.92</v>
      </c>
      <c r="D69" s="127">
        <v>2086.92</v>
      </c>
      <c r="E69" s="127">
        <v>2086.92</v>
      </c>
      <c r="F69" s="127">
        <v>2086.92</v>
      </c>
      <c r="G69" s="127">
        <v>2086.92</v>
      </c>
      <c r="H69" s="127">
        <v>2086.92</v>
      </c>
      <c r="I69" s="127">
        <v>2344.98</v>
      </c>
      <c r="J69" s="127">
        <v>2344.98</v>
      </c>
      <c r="K69" s="127">
        <v>2344.98</v>
      </c>
      <c r="L69" s="127">
        <v>2344.98</v>
      </c>
      <c r="M69" s="127">
        <v>2344.98</v>
      </c>
      <c r="N69" s="127">
        <v>2344.98</v>
      </c>
      <c r="O69" s="127">
        <f t="shared" si="2"/>
        <v>26591.399999999994</v>
      </c>
    </row>
    <row r="70" spans="2:18">
      <c r="B70" s="127" t="s">
        <v>614</v>
      </c>
      <c r="C70" s="288">
        <v>2086.92</v>
      </c>
      <c r="D70" s="127">
        <v>2086.92</v>
      </c>
      <c r="E70" s="127">
        <v>2086.92</v>
      </c>
      <c r="F70" s="127">
        <v>2086.92</v>
      </c>
      <c r="G70" s="127">
        <v>6191.94</v>
      </c>
      <c r="H70" s="127">
        <v>11022.36</v>
      </c>
      <c r="I70" s="127">
        <v>1962.51</v>
      </c>
      <c r="J70" s="127">
        <v>1000</v>
      </c>
      <c r="K70" s="127">
        <v>2000</v>
      </c>
      <c r="L70" s="127">
        <v>6200</v>
      </c>
      <c r="M70" s="127">
        <v>7200</v>
      </c>
      <c r="N70" s="127">
        <v>7215</v>
      </c>
      <c r="O70" s="127">
        <f t="shared" si="2"/>
        <v>51139.489999999991</v>
      </c>
    </row>
    <row r="71" spans="2:18">
      <c r="B71" s="127" t="s">
        <v>968</v>
      </c>
      <c r="C71" s="288">
        <f>1922.5</f>
        <v>1922.5</v>
      </c>
      <c r="D71" s="127">
        <f>244*1.86</f>
        <v>453.84000000000003</v>
      </c>
      <c r="E71" s="127">
        <v>3381.48</v>
      </c>
      <c r="F71" s="127">
        <v>3126.66</v>
      </c>
      <c r="G71" s="127">
        <v>-14108.1</v>
      </c>
      <c r="H71" s="127">
        <v>1601.46</v>
      </c>
      <c r="I71" s="127">
        <v>-712.69</v>
      </c>
      <c r="J71" s="127">
        <v>124</v>
      </c>
      <c r="K71" s="127">
        <v>400</v>
      </c>
      <c r="L71" s="127">
        <v>500</v>
      </c>
      <c r="M71" s="127">
        <v>1500</v>
      </c>
      <c r="N71" s="127">
        <v>2355.4299999999998</v>
      </c>
      <c r="O71" s="127">
        <f t="shared" si="2"/>
        <v>544.57999999999856</v>
      </c>
    </row>
    <row r="72" spans="2:18">
      <c r="B72" s="127" t="s">
        <v>978</v>
      </c>
      <c r="C72" s="288">
        <v>141.36000000000001</v>
      </c>
      <c r="D72" s="127">
        <v>141.36000000000001</v>
      </c>
      <c r="E72" s="127">
        <v>141.36000000000001</v>
      </c>
      <c r="F72" s="127">
        <v>141.36000000000001</v>
      </c>
      <c r="G72" s="127">
        <v>141.36000000000001</v>
      </c>
      <c r="H72" s="127">
        <v>93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f t="shared" si="2"/>
        <v>799.80000000000007</v>
      </c>
    </row>
    <row r="73" spans="2:18">
      <c r="B73" s="127" t="s">
        <v>969</v>
      </c>
      <c r="C73" s="288">
        <v>840.72</v>
      </c>
      <c r="D73" s="127">
        <v>840.72</v>
      </c>
      <c r="E73" s="127">
        <v>840.72</v>
      </c>
      <c r="F73" s="127">
        <v>840.72</v>
      </c>
      <c r="G73" s="127">
        <v>840.72</v>
      </c>
      <c r="H73" s="127">
        <v>552.41999999999996</v>
      </c>
      <c r="I73" s="127">
        <v>620.73</v>
      </c>
      <c r="J73" s="127">
        <v>620.73</v>
      </c>
      <c r="K73" s="127">
        <v>620.73</v>
      </c>
      <c r="L73" s="127">
        <v>620.73</v>
      </c>
      <c r="M73" s="127">
        <v>620.73</v>
      </c>
      <c r="N73" s="127">
        <v>620.73</v>
      </c>
      <c r="O73" s="127">
        <f t="shared" si="2"/>
        <v>8480.4000000000015</v>
      </c>
    </row>
    <row r="74" spans="2:18">
      <c r="B74" s="127" t="s">
        <v>927</v>
      </c>
      <c r="C74" s="288">
        <v>163.68</v>
      </c>
      <c r="D74" s="127">
        <v>163.68</v>
      </c>
      <c r="E74" s="127">
        <v>163.68</v>
      </c>
      <c r="F74" s="127">
        <v>163.68</v>
      </c>
      <c r="G74" s="127">
        <v>163.68</v>
      </c>
      <c r="H74" s="127">
        <v>107.88</v>
      </c>
      <c r="I74" s="127">
        <v>121.22</v>
      </c>
      <c r="J74" s="127">
        <v>121.22</v>
      </c>
      <c r="K74" s="127">
        <v>121.22</v>
      </c>
      <c r="L74" s="127">
        <v>121.22</v>
      </c>
      <c r="M74" s="127">
        <v>121.22</v>
      </c>
      <c r="N74" s="127">
        <v>0</v>
      </c>
      <c r="O74" s="127">
        <f t="shared" si="2"/>
        <v>1532.3800000000003</v>
      </c>
    </row>
    <row r="75" spans="2:18">
      <c r="B75" s="127" t="s">
        <v>928</v>
      </c>
      <c r="C75" s="288">
        <v>243.66</v>
      </c>
      <c r="D75" s="127">
        <v>243.66</v>
      </c>
      <c r="E75" s="127">
        <v>243.66</v>
      </c>
      <c r="F75" s="127">
        <v>243.66</v>
      </c>
      <c r="G75" s="127">
        <v>243.66</v>
      </c>
      <c r="H75" s="127">
        <v>159.96</v>
      </c>
      <c r="I75" s="127">
        <v>179.74</v>
      </c>
      <c r="J75" s="127">
        <v>179.74</v>
      </c>
      <c r="K75" s="127">
        <v>179.74</v>
      </c>
      <c r="L75" s="127">
        <v>179.74</v>
      </c>
      <c r="M75" s="127">
        <v>179.74</v>
      </c>
      <c r="N75" s="127">
        <v>0</v>
      </c>
      <c r="O75" s="127">
        <f t="shared" si="2"/>
        <v>2276.9600000000005</v>
      </c>
    </row>
    <row r="76" spans="2:18">
      <c r="B76" s="127" t="s">
        <v>970</v>
      </c>
      <c r="C76" s="288">
        <f>1397.84*1.86</f>
        <v>2599.9823999999999</v>
      </c>
      <c r="D76" s="76">
        <v>6842</v>
      </c>
      <c r="E76" s="127">
        <v>7864.83</v>
      </c>
      <c r="F76" s="127">
        <v>9866.35</v>
      </c>
      <c r="G76" s="127">
        <v>-1603.32</v>
      </c>
      <c r="H76" s="127">
        <v>10129.56</v>
      </c>
      <c r="I76" s="127">
        <v>1474.09</v>
      </c>
      <c r="J76" s="127">
        <v>0</v>
      </c>
      <c r="K76" s="127">
        <v>0</v>
      </c>
      <c r="L76" s="127">
        <v>0</v>
      </c>
      <c r="M76" s="127">
        <v>0</v>
      </c>
      <c r="N76" s="127">
        <v>0</v>
      </c>
      <c r="O76" s="127">
        <f t="shared" si="2"/>
        <v>37173.492400000003</v>
      </c>
    </row>
    <row r="77" spans="2:18">
      <c r="B77" s="127" t="s">
        <v>971</v>
      </c>
      <c r="C77" s="288">
        <f>1606.24*1.86</f>
        <v>2987.6064000000001</v>
      </c>
      <c r="D77" s="76">
        <v>2987</v>
      </c>
      <c r="E77" s="127">
        <v>3108.53</v>
      </c>
      <c r="F77" s="127">
        <v>3299.94</v>
      </c>
      <c r="G77" s="127">
        <v>17638.38</v>
      </c>
      <c r="H77" s="127">
        <v>21531.360000000001</v>
      </c>
      <c r="I77" s="127">
        <v>2903.86</v>
      </c>
      <c r="J77" s="127">
        <v>0</v>
      </c>
      <c r="K77" s="127">
        <v>0</v>
      </c>
      <c r="L77" s="127">
        <v>0</v>
      </c>
      <c r="M77" s="127">
        <v>0</v>
      </c>
      <c r="N77" s="127">
        <v>0</v>
      </c>
      <c r="O77" s="127">
        <f t="shared" si="2"/>
        <v>54456.676400000004</v>
      </c>
    </row>
    <row r="78" spans="2:18">
      <c r="B78" s="127" t="s">
        <v>973</v>
      </c>
      <c r="C78" s="288">
        <v>2479.38</v>
      </c>
      <c r="D78" s="127">
        <v>2479.38</v>
      </c>
      <c r="E78" s="127">
        <v>2479.38</v>
      </c>
      <c r="F78" s="127">
        <v>2479.38</v>
      </c>
      <c r="G78" s="127">
        <v>10209.540000000001</v>
      </c>
      <c r="H78" s="127">
        <v>-16381</v>
      </c>
      <c r="I78" s="127">
        <v>0</v>
      </c>
      <c r="J78" s="127">
        <v>0</v>
      </c>
      <c r="K78" s="127">
        <v>0</v>
      </c>
      <c r="L78" s="127">
        <v>0</v>
      </c>
      <c r="M78" s="127">
        <v>0</v>
      </c>
      <c r="N78" s="127">
        <v>0</v>
      </c>
      <c r="O78" s="127">
        <f t="shared" si="2"/>
        <v>3746.0600000000013</v>
      </c>
    </row>
    <row r="79" spans="2:18">
      <c r="B79" s="127" t="s">
        <v>974</v>
      </c>
      <c r="C79" s="288">
        <v>3736.74</v>
      </c>
      <c r="D79" s="127">
        <v>3736.74</v>
      </c>
      <c r="E79" s="127">
        <v>3736.74</v>
      </c>
      <c r="F79" s="127">
        <v>3736.74</v>
      </c>
      <c r="G79" s="127">
        <v>7745.04</v>
      </c>
      <c r="H79" s="127">
        <v>3701.4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f t="shared" si="2"/>
        <v>26393.399999999994</v>
      </c>
    </row>
    <row r="80" spans="2:18">
      <c r="B80" s="127"/>
      <c r="C80" s="288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>
        <f>SUM(O47:O79)/1000</f>
        <v>442.34935879999995</v>
      </c>
      <c r="P80">
        <v>442.6</v>
      </c>
      <c r="R80">
        <f>P80-O80</f>
        <v>0.25064120000007506</v>
      </c>
    </row>
  </sheetData>
  <pageMargins left="0.70866141732283472" right="0.70866141732283472" top="0.74803149606299213" bottom="0.74803149606299213" header="0.31496062992125984" footer="0.31496062992125984"/>
  <pageSetup paperSize="9" scale="41" orientation="landscape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3:P36"/>
  <sheetViews>
    <sheetView workbookViewId="0">
      <pane xSplit="16440" topLeftCell="D1"/>
      <selection activeCell="A3" sqref="A3:P3"/>
      <selection pane="topRight" activeCell="D1" sqref="D1"/>
    </sheetView>
  </sheetViews>
  <sheetFormatPr defaultRowHeight="15"/>
  <cols>
    <col min="1" max="1" width="13" customWidth="1"/>
    <col min="2" max="2" width="10.140625" customWidth="1"/>
    <col min="3" max="3" width="12.85546875" customWidth="1"/>
    <col min="4" max="4" width="9.85546875" customWidth="1"/>
    <col min="5" max="5" width="11.140625" hidden="1" customWidth="1"/>
    <col min="6" max="6" width="11.85546875" hidden="1" customWidth="1"/>
    <col min="7" max="7" width="8.7109375" customWidth="1"/>
    <col min="8" max="8" width="8.42578125" customWidth="1"/>
    <col min="9" max="9" width="11.140625" customWidth="1"/>
  </cols>
  <sheetData>
    <row r="3" spans="1:16" ht="45">
      <c r="A3" s="298" t="s">
        <v>992</v>
      </c>
      <c r="B3" s="298" t="s">
        <v>993</v>
      </c>
      <c r="C3" s="298" t="s">
        <v>994</v>
      </c>
      <c r="D3" s="298" t="s">
        <v>525</v>
      </c>
      <c r="E3" s="299" t="s">
        <v>1015</v>
      </c>
      <c r="F3" s="297" t="s">
        <v>1016</v>
      </c>
      <c r="G3" s="297" t="s">
        <v>1018</v>
      </c>
      <c r="H3" s="297" t="s">
        <v>1020</v>
      </c>
      <c r="I3" s="297" t="s">
        <v>1019</v>
      </c>
      <c r="J3" s="297" t="s">
        <v>1021</v>
      </c>
      <c r="K3" s="297" t="s">
        <v>1027</v>
      </c>
      <c r="L3" s="297" t="s">
        <v>1022</v>
      </c>
      <c r="M3" s="297" t="s">
        <v>952</v>
      </c>
      <c r="N3" s="297" t="s">
        <v>1025</v>
      </c>
      <c r="O3" s="297" t="s">
        <v>1026</v>
      </c>
      <c r="P3" s="297" t="s">
        <v>519</v>
      </c>
    </row>
    <row r="4" spans="1:16">
      <c r="A4" s="127" t="s">
        <v>995</v>
      </c>
      <c r="B4" s="296" t="s">
        <v>996</v>
      </c>
      <c r="C4" s="127">
        <v>1599</v>
      </c>
      <c r="D4" s="127">
        <v>17.829999999999998</v>
      </c>
      <c r="E4" s="178"/>
      <c r="F4" s="288">
        <f>(D4+E4)*C4</f>
        <v>28510.17</v>
      </c>
      <c r="G4" s="127"/>
      <c r="H4" s="127"/>
      <c r="I4" s="127">
        <v>294409.81</v>
      </c>
      <c r="J4" s="127">
        <v>31899.96</v>
      </c>
      <c r="K4" s="127"/>
      <c r="L4" s="127">
        <v>1949.87</v>
      </c>
      <c r="M4" s="127"/>
      <c r="N4" s="127">
        <v>17910.3</v>
      </c>
      <c r="O4" s="127">
        <f>20.995*C4</f>
        <v>33571.005000000005</v>
      </c>
      <c r="P4" s="127"/>
    </row>
    <row r="5" spans="1:16">
      <c r="A5" s="127"/>
      <c r="B5" s="296" t="s">
        <v>997</v>
      </c>
      <c r="C5" s="127">
        <v>1256</v>
      </c>
      <c r="D5" s="127">
        <v>17.829999999999998</v>
      </c>
      <c r="E5" s="178"/>
      <c r="F5" s="288">
        <f t="shared" ref="F5:F34" si="0">(D5+E5)*C5</f>
        <v>22394.48</v>
      </c>
      <c r="G5" s="127"/>
      <c r="H5" s="127"/>
      <c r="I5" s="127">
        <v>251568</v>
      </c>
      <c r="J5" s="127">
        <v>71296.179999999993</v>
      </c>
      <c r="K5" s="127"/>
      <c r="L5" s="127">
        <v>12503.67</v>
      </c>
      <c r="M5" s="127"/>
      <c r="N5" s="127">
        <v>15307.2</v>
      </c>
      <c r="O5" s="127">
        <f>20.995*C5</f>
        <v>26369.72</v>
      </c>
      <c r="P5" s="127"/>
    </row>
    <row r="6" spans="1:16">
      <c r="A6" s="127"/>
      <c r="B6" s="296" t="s">
        <v>998</v>
      </c>
      <c r="C6" s="127">
        <v>571.01</v>
      </c>
      <c r="D6" s="127">
        <v>17.829999999999998</v>
      </c>
      <c r="E6" s="178"/>
      <c r="F6" s="288">
        <f t="shared" si="0"/>
        <v>10181.108299999998</v>
      </c>
      <c r="G6" s="127"/>
      <c r="H6" s="127"/>
      <c r="I6" s="127">
        <v>114297.9</v>
      </c>
      <c r="J6" s="127">
        <v>57709.68</v>
      </c>
      <c r="K6" s="127"/>
      <c r="L6" s="127">
        <v>924.9</v>
      </c>
      <c r="M6" s="127"/>
      <c r="N6" s="127">
        <v>5190.3900000000003</v>
      </c>
      <c r="O6" s="127">
        <f t="shared" ref="O6:O34" si="1">20.995*C6</f>
        <v>11988.354950000001</v>
      </c>
      <c r="P6" s="127"/>
    </row>
    <row r="7" spans="1:16">
      <c r="A7" s="127" t="s">
        <v>999</v>
      </c>
      <c r="B7" s="296">
        <v>1</v>
      </c>
      <c r="C7" s="127">
        <v>1064.0999999999999</v>
      </c>
      <c r="D7" s="127">
        <v>17.829999999999998</v>
      </c>
      <c r="E7" s="178"/>
      <c r="F7" s="288">
        <f t="shared" si="0"/>
        <v>18972.902999999995</v>
      </c>
      <c r="G7" s="127"/>
      <c r="H7" s="127"/>
      <c r="I7" s="127">
        <v>222644</v>
      </c>
      <c r="J7" s="127">
        <v>54146.67</v>
      </c>
      <c r="K7" s="127"/>
      <c r="L7" s="127">
        <v>2784.37</v>
      </c>
      <c r="M7" s="127"/>
      <c r="N7" s="127">
        <v>12852</v>
      </c>
      <c r="O7" s="127">
        <f t="shared" si="1"/>
        <v>22340.779500000001</v>
      </c>
      <c r="P7" s="127"/>
    </row>
    <row r="8" spans="1:16">
      <c r="A8" s="127"/>
      <c r="B8" s="296" t="s">
        <v>1000</v>
      </c>
      <c r="C8" s="127">
        <v>710.6</v>
      </c>
      <c r="D8" s="127">
        <v>17.829999999999998</v>
      </c>
      <c r="E8" s="178"/>
      <c r="F8" s="288">
        <f t="shared" si="0"/>
        <v>12669.998</v>
      </c>
      <c r="G8" s="127"/>
      <c r="H8" s="127"/>
      <c r="I8" s="127">
        <v>145441.5</v>
      </c>
      <c r="J8" s="127">
        <v>4351.6099999999997</v>
      </c>
      <c r="K8" s="127"/>
      <c r="L8" s="127">
        <v>7673.36</v>
      </c>
      <c r="M8" s="127"/>
      <c r="N8" s="127">
        <v>799.8</v>
      </c>
      <c r="O8" s="127">
        <f t="shared" si="1"/>
        <v>14919.047</v>
      </c>
      <c r="P8" s="127"/>
    </row>
    <row r="9" spans="1:16">
      <c r="A9" s="127"/>
      <c r="B9" s="296" t="s">
        <v>1001</v>
      </c>
      <c r="C9" s="127"/>
      <c r="D9" s="127">
        <v>19.16</v>
      </c>
      <c r="E9" s="178">
        <v>28.89</v>
      </c>
      <c r="F9" s="288">
        <f t="shared" si="0"/>
        <v>0</v>
      </c>
      <c r="G9" s="127"/>
      <c r="H9" s="127"/>
      <c r="I9" s="127">
        <v>179029</v>
      </c>
      <c r="J9" s="127"/>
      <c r="K9" s="127"/>
      <c r="L9" s="127">
        <v>2155.35</v>
      </c>
      <c r="M9" s="127"/>
      <c r="N9" s="127"/>
      <c r="O9" s="127">
        <f t="shared" si="1"/>
        <v>0</v>
      </c>
      <c r="P9" s="127"/>
    </row>
    <row r="10" spans="1:16">
      <c r="A10" s="127"/>
      <c r="B10" s="296" t="s">
        <v>1002</v>
      </c>
      <c r="C10" s="127">
        <v>690.83</v>
      </c>
      <c r="D10" s="127">
        <v>17.829999999999998</v>
      </c>
      <c r="E10" s="178"/>
      <c r="F10" s="288">
        <f t="shared" si="0"/>
        <v>12317.498899999999</v>
      </c>
      <c r="G10" s="127"/>
      <c r="H10" s="127"/>
      <c r="I10" s="127">
        <v>148068</v>
      </c>
      <c r="J10" s="127">
        <v>4539.96</v>
      </c>
      <c r="K10" s="127"/>
      <c r="L10" s="127">
        <v>633.20000000000005</v>
      </c>
      <c r="M10" s="127"/>
      <c r="N10" s="127">
        <v>8480.4</v>
      </c>
      <c r="O10" s="127">
        <f t="shared" si="1"/>
        <v>14503.975850000001</v>
      </c>
      <c r="P10" s="127"/>
    </row>
    <row r="11" spans="1:16">
      <c r="A11" s="127" t="s">
        <v>1003</v>
      </c>
      <c r="B11" s="296" t="s">
        <v>1001</v>
      </c>
      <c r="C11" s="127">
        <v>935.9</v>
      </c>
      <c r="D11" s="127">
        <v>17.829999999999998</v>
      </c>
      <c r="E11" s="178"/>
      <c r="F11" s="288">
        <f t="shared" si="0"/>
        <v>16687.096999999998</v>
      </c>
      <c r="G11" s="127"/>
      <c r="H11" s="127"/>
      <c r="I11" s="127">
        <v>204166</v>
      </c>
      <c r="J11" s="127">
        <v>32394.71</v>
      </c>
      <c r="K11" s="127"/>
      <c r="L11" s="127">
        <v>26934.53</v>
      </c>
      <c r="M11" s="127"/>
      <c r="N11" s="127">
        <v>4790.1000000000004</v>
      </c>
      <c r="O11" s="127">
        <f t="shared" si="1"/>
        <v>19649.220499999999</v>
      </c>
      <c r="P11" s="127"/>
    </row>
    <row r="12" spans="1:16">
      <c r="A12" s="127"/>
      <c r="B12" s="296" t="s">
        <v>1004</v>
      </c>
      <c r="C12" s="127">
        <v>846.9</v>
      </c>
      <c r="D12" s="127">
        <v>17.829999999999998</v>
      </c>
      <c r="E12" s="178"/>
      <c r="F12" s="288">
        <f t="shared" si="0"/>
        <v>15100.226999999999</v>
      </c>
      <c r="G12" s="127"/>
      <c r="H12" s="127"/>
      <c r="I12" s="127">
        <v>164158</v>
      </c>
      <c r="J12" s="127">
        <v>49779.98</v>
      </c>
      <c r="K12" s="127"/>
      <c r="L12" s="127">
        <v>26853.87</v>
      </c>
      <c r="M12" s="127"/>
      <c r="N12" s="127">
        <v>6895.92</v>
      </c>
      <c r="O12" s="127">
        <f t="shared" si="1"/>
        <v>17780.665499999999</v>
      </c>
      <c r="P12" s="127"/>
    </row>
    <row r="13" spans="1:16">
      <c r="A13" s="127"/>
      <c r="B13" s="296" t="s">
        <v>1005</v>
      </c>
      <c r="C13" s="127">
        <v>899.7</v>
      </c>
      <c r="D13" s="127">
        <v>17.829999999999998</v>
      </c>
      <c r="E13" s="178"/>
      <c r="F13" s="288">
        <f t="shared" si="0"/>
        <v>16041.651</v>
      </c>
      <c r="G13" s="127"/>
      <c r="H13" s="127"/>
      <c r="I13" s="127">
        <v>185287</v>
      </c>
      <c r="J13" s="127">
        <v>33717.64</v>
      </c>
      <c r="K13" s="127"/>
      <c r="L13" s="127">
        <v>3233.32</v>
      </c>
      <c r="M13" s="127"/>
      <c r="N13" s="127">
        <v>4013.9</v>
      </c>
      <c r="O13" s="127">
        <f t="shared" si="1"/>
        <v>18889.201500000003</v>
      </c>
      <c r="P13" s="127"/>
    </row>
    <row r="14" spans="1:16">
      <c r="A14" s="127" t="s">
        <v>1023</v>
      </c>
      <c r="B14" s="296" t="s">
        <v>1024</v>
      </c>
      <c r="C14" s="127"/>
      <c r="D14" s="127"/>
      <c r="E14" s="178"/>
      <c r="F14" s="288"/>
      <c r="G14" s="127"/>
      <c r="H14" s="127"/>
      <c r="I14" s="127">
        <v>45122</v>
      </c>
      <c r="J14" s="127">
        <v>1899.95</v>
      </c>
      <c r="K14" s="127"/>
      <c r="L14" s="127">
        <v>1203.42</v>
      </c>
      <c r="M14" s="127"/>
      <c r="N14" s="127">
        <v>577.72</v>
      </c>
      <c r="O14" s="127">
        <f t="shared" si="1"/>
        <v>0</v>
      </c>
      <c r="P14" s="127"/>
    </row>
    <row r="15" spans="1:16">
      <c r="A15" s="127" t="s">
        <v>1006</v>
      </c>
      <c r="B15" s="296" t="s">
        <v>1000</v>
      </c>
      <c r="C15" s="127">
        <v>2582.5</v>
      </c>
      <c r="D15" s="127">
        <v>19.16</v>
      </c>
      <c r="E15" s="178"/>
      <c r="F15" s="288">
        <f t="shared" si="0"/>
        <v>49480.7</v>
      </c>
      <c r="G15" s="127"/>
      <c r="H15" s="127"/>
      <c r="I15" s="127">
        <v>628215.06000000006</v>
      </c>
      <c r="J15" s="127">
        <v>141163.29999999999</v>
      </c>
      <c r="K15" s="127"/>
      <c r="L15" s="127">
        <v>7751.39</v>
      </c>
      <c r="M15" s="127"/>
      <c r="N15" s="127">
        <v>26591.4</v>
      </c>
      <c r="O15" s="127">
        <f t="shared" si="1"/>
        <v>54219.587500000001</v>
      </c>
      <c r="P15" s="127"/>
    </row>
    <row r="16" spans="1:16">
      <c r="A16" s="127"/>
      <c r="B16" s="296" t="s">
        <v>1001</v>
      </c>
      <c r="C16" s="127">
        <v>2596</v>
      </c>
      <c r="D16" s="127">
        <v>19.16</v>
      </c>
      <c r="E16" s="178"/>
      <c r="F16" s="288">
        <f t="shared" si="0"/>
        <v>49739.360000000001</v>
      </c>
      <c r="G16" s="127"/>
      <c r="H16" s="127"/>
      <c r="I16" s="127">
        <v>588909</v>
      </c>
      <c r="J16" s="127">
        <v>134881.43</v>
      </c>
      <c r="K16" s="127"/>
      <c r="L16" s="127">
        <v>10727.65</v>
      </c>
      <c r="M16" s="127"/>
      <c r="N16" s="127">
        <v>51139.49</v>
      </c>
      <c r="O16" s="127">
        <f t="shared" si="1"/>
        <v>54503.020000000004</v>
      </c>
      <c r="P16" s="127"/>
    </row>
    <row r="17" spans="1:16">
      <c r="A17" s="127" t="s">
        <v>1007</v>
      </c>
      <c r="B17" s="296" t="s">
        <v>1000</v>
      </c>
      <c r="C17" s="127">
        <v>222.4</v>
      </c>
      <c r="D17" s="127">
        <v>30.24</v>
      </c>
      <c r="E17" s="178"/>
      <c r="F17" s="288">
        <f t="shared" si="0"/>
        <v>6725.3760000000002</v>
      </c>
      <c r="G17" s="127"/>
      <c r="H17" s="127"/>
      <c r="I17" s="127">
        <v>84552</v>
      </c>
      <c r="J17" s="127">
        <v>4719.59</v>
      </c>
      <c r="K17" s="127"/>
      <c r="L17" s="127">
        <v>5182.8599999999997</v>
      </c>
      <c r="M17" s="127">
        <v>30080</v>
      </c>
      <c r="N17" s="127">
        <v>576.29999999999995</v>
      </c>
      <c r="O17" s="127">
        <f t="shared" si="1"/>
        <v>4669.2880000000005</v>
      </c>
      <c r="P17" s="127"/>
    </row>
    <row r="18" spans="1:16">
      <c r="A18" s="127"/>
      <c r="B18" s="296">
        <v>4</v>
      </c>
      <c r="C18" s="127">
        <v>208.8</v>
      </c>
      <c r="D18" s="127">
        <v>17.829999999999998</v>
      </c>
      <c r="E18" s="178"/>
      <c r="F18" s="288">
        <f t="shared" si="0"/>
        <v>3722.904</v>
      </c>
      <c r="G18" s="127"/>
      <c r="H18" s="127"/>
      <c r="I18" s="127">
        <v>34379</v>
      </c>
      <c r="J18" s="127">
        <v>18331.72</v>
      </c>
      <c r="K18" s="127"/>
      <c r="L18" s="127">
        <v>3949.06</v>
      </c>
      <c r="M18" s="127"/>
      <c r="N18" s="127">
        <v>325.5</v>
      </c>
      <c r="O18" s="127">
        <f t="shared" si="1"/>
        <v>4383.7560000000003</v>
      </c>
      <c r="P18" s="127"/>
    </row>
    <row r="19" spans="1:16">
      <c r="A19" s="127"/>
      <c r="B19" s="296">
        <v>6</v>
      </c>
      <c r="C19" s="127">
        <v>355.4</v>
      </c>
      <c r="D19" s="127">
        <v>27.8</v>
      </c>
      <c r="E19" s="178"/>
      <c r="F19" s="288">
        <f t="shared" si="0"/>
        <v>9880.119999999999</v>
      </c>
      <c r="G19" s="127"/>
      <c r="H19" s="127"/>
      <c r="I19" s="127">
        <v>113693</v>
      </c>
      <c r="J19" s="127">
        <v>5293.58</v>
      </c>
      <c r="K19" s="127"/>
      <c r="L19" s="127">
        <v>716</v>
      </c>
      <c r="M19" s="127">
        <v>54375</v>
      </c>
      <c r="N19" s="127">
        <v>652.86</v>
      </c>
      <c r="O19" s="127">
        <f t="shared" si="1"/>
        <v>7461.6229999999996</v>
      </c>
      <c r="P19" s="127"/>
    </row>
    <row r="20" spans="1:16">
      <c r="A20" s="127"/>
      <c r="B20" s="296">
        <v>14</v>
      </c>
      <c r="C20" s="127">
        <v>721.62</v>
      </c>
      <c r="D20" s="127">
        <v>30.24</v>
      </c>
      <c r="E20" s="178"/>
      <c r="F20" s="288">
        <f t="shared" si="0"/>
        <v>21821.788799999998</v>
      </c>
      <c r="G20" s="127"/>
      <c r="H20" s="127"/>
      <c r="I20" s="127">
        <v>235254</v>
      </c>
      <c r="J20" s="127">
        <v>86032.03</v>
      </c>
      <c r="K20" s="127"/>
      <c r="L20" s="127">
        <v>1715.92</v>
      </c>
      <c r="M20" s="127">
        <v>138829</v>
      </c>
      <c r="N20" s="127">
        <v>2903.13</v>
      </c>
      <c r="O20" s="127">
        <f t="shared" si="1"/>
        <v>15150.411900000001</v>
      </c>
      <c r="P20" s="127"/>
    </row>
    <row r="21" spans="1:16">
      <c r="A21" s="127"/>
      <c r="B21" s="296">
        <v>16</v>
      </c>
      <c r="C21" s="127">
        <v>728.2</v>
      </c>
      <c r="D21" s="127">
        <v>30.24</v>
      </c>
      <c r="E21" s="178"/>
      <c r="F21" s="288">
        <f t="shared" si="0"/>
        <v>22020.768</v>
      </c>
      <c r="G21" s="127"/>
      <c r="H21" s="127"/>
      <c r="I21" s="127">
        <v>237672.5</v>
      </c>
      <c r="J21" s="127">
        <v>81285.77</v>
      </c>
      <c r="K21" s="127"/>
      <c r="L21" s="127">
        <v>10088.77</v>
      </c>
      <c r="M21" s="127">
        <v>118384.36</v>
      </c>
      <c r="N21" s="127">
        <v>1664.7</v>
      </c>
      <c r="O21" s="127">
        <f t="shared" si="1"/>
        <v>15288.559000000001</v>
      </c>
      <c r="P21" s="127"/>
    </row>
    <row r="22" spans="1:16">
      <c r="A22" s="127"/>
      <c r="B22" s="296">
        <v>18</v>
      </c>
      <c r="C22" s="127">
        <v>738.6</v>
      </c>
      <c r="D22" s="127">
        <v>30.24</v>
      </c>
      <c r="E22" s="178"/>
      <c r="F22" s="288">
        <f t="shared" si="0"/>
        <v>22335.263999999999</v>
      </c>
      <c r="G22" s="127"/>
      <c r="H22" s="127"/>
      <c r="I22" s="127">
        <v>278109.5</v>
      </c>
      <c r="J22" s="127">
        <v>12717.31</v>
      </c>
      <c r="K22" s="127"/>
      <c r="L22" s="127">
        <v>2260.37</v>
      </c>
      <c r="M22" s="127">
        <f>238322-118384.4</f>
        <v>119937.60000000001</v>
      </c>
      <c r="N22" s="127">
        <v>3659.21</v>
      </c>
      <c r="O22" s="127">
        <f t="shared" si="1"/>
        <v>15506.907000000001</v>
      </c>
      <c r="P22" s="127"/>
    </row>
    <row r="23" spans="1:16">
      <c r="A23" s="127"/>
      <c r="B23" s="296">
        <v>20</v>
      </c>
      <c r="C23" s="127">
        <v>736.8</v>
      </c>
      <c r="D23" s="127">
        <v>30.24</v>
      </c>
      <c r="E23" s="178"/>
      <c r="F23" s="288">
        <f t="shared" si="0"/>
        <v>22280.831999999999</v>
      </c>
      <c r="G23" s="127"/>
      <c r="H23" s="127"/>
      <c r="I23" s="127">
        <v>241294</v>
      </c>
      <c r="J23" s="127">
        <v>88571.9</v>
      </c>
      <c r="K23" s="127"/>
      <c r="L23" s="127">
        <v>7381.51</v>
      </c>
      <c r="M23" s="127">
        <v>115691</v>
      </c>
      <c r="N23" s="127">
        <v>15252.63</v>
      </c>
      <c r="O23" s="127">
        <f t="shared" si="1"/>
        <v>15469.116</v>
      </c>
      <c r="P23" s="127"/>
    </row>
    <row r="24" spans="1:16">
      <c r="A24" s="127"/>
      <c r="B24" s="296" t="s">
        <v>1008</v>
      </c>
      <c r="C24" s="127">
        <v>782.2</v>
      </c>
      <c r="D24" s="127">
        <v>27.8</v>
      </c>
      <c r="E24" s="178"/>
      <c r="F24" s="288">
        <f t="shared" si="0"/>
        <v>21745.160000000003</v>
      </c>
      <c r="G24" s="127"/>
      <c r="H24" s="127"/>
      <c r="I24" s="127">
        <v>240039.62</v>
      </c>
      <c r="J24" s="127">
        <v>32847.14</v>
      </c>
      <c r="K24" s="127"/>
      <c r="L24" s="127">
        <v>20434.78</v>
      </c>
      <c r="M24" s="127">
        <v>76356</v>
      </c>
      <c r="N24" s="127">
        <v>5572.56</v>
      </c>
      <c r="O24" s="127">
        <f t="shared" si="1"/>
        <v>16422.289000000001</v>
      </c>
      <c r="P24" s="127"/>
    </row>
    <row r="25" spans="1:16">
      <c r="A25" s="127" t="s">
        <v>1009</v>
      </c>
      <c r="B25" s="296">
        <v>2</v>
      </c>
      <c r="C25" s="127">
        <v>222.1</v>
      </c>
      <c r="D25" s="127">
        <v>30.24</v>
      </c>
      <c r="E25" s="178"/>
      <c r="F25" s="288">
        <f t="shared" si="0"/>
        <v>6716.3039999999992</v>
      </c>
      <c r="G25" s="127"/>
      <c r="H25" s="127"/>
      <c r="I25" s="127">
        <v>76281</v>
      </c>
      <c r="J25" s="127">
        <v>3132.06</v>
      </c>
      <c r="K25" s="127"/>
      <c r="L25" s="127">
        <v>1848.53</v>
      </c>
      <c r="M25" s="127">
        <v>34707</v>
      </c>
      <c r="N25" s="127">
        <v>325.5</v>
      </c>
      <c r="O25" s="127">
        <f t="shared" si="1"/>
        <v>4662.9894999999997</v>
      </c>
      <c r="P25" s="127"/>
    </row>
    <row r="26" spans="1:16">
      <c r="A26" s="127"/>
      <c r="B26" s="296" t="s">
        <v>1000</v>
      </c>
      <c r="C26" s="127">
        <v>5120.2</v>
      </c>
      <c r="D26" s="127">
        <v>19.16</v>
      </c>
      <c r="E26" s="178"/>
      <c r="F26" s="288">
        <f t="shared" si="0"/>
        <v>98103.031999999992</v>
      </c>
      <c r="G26" s="127"/>
      <c r="H26" s="127"/>
      <c r="I26" s="127">
        <v>1058487.1000000001</v>
      </c>
      <c r="J26" s="127">
        <v>254164.79</v>
      </c>
      <c r="K26" s="127"/>
      <c r="L26" s="127">
        <v>31951.7</v>
      </c>
      <c r="M26" s="127"/>
      <c r="N26" s="127">
        <v>45039.73</v>
      </c>
      <c r="O26" s="127">
        <f t="shared" si="1"/>
        <v>107498.599</v>
      </c>
      <c r="P26" s="127"/>
    </row>
    <row r="27" spans="1:16">
      <c r="A27" s="127"/>
      <c r="B27" s="296" t="s">
        <v>1001</v>
      </c>
      <c r="C27" s="127">
        <v>2514.5</v>
      </c>
      <c r="D27" s="127">
        <v>19.16</v>
      </c>
      <c r="E27" s="178"/>
      <c r="F27" s="288">
        <f t="shared" si="0"/>
        <v>48177.82</v>
      </c>
      <c r="G27" s="127"/>
      <c r="H27" s="127"/>
      <c r="I27" s="127">
        <v>515410</v>
      </c>
      <c r="J27" s="127">
        <v>108347.53</v>
      </c>
      <c r="K27" s="127"/>
      <c r="L27" s="127">
        <v>19148.63</v>
      </c>
      <c r="M27" s="127"/>
      <c r="N27" s="127">
        <v>8694.7800000000007</v>
      </c>
      <c r="O27" s="127">
        <f t="shared" si="1"/>
        <v>52791.927500000005</v>
      </c>
      <c r="P27" s="127"/>
    </row>
    <row r="28" spans="1:16">
      <c r="A28" s="127"/>
      <c r="B28" s="296" t="s">
        <v>1005</v>
      </c>
      <c r="C28" s="127">
        <v>2564.1999999999998</v>
      </c>
      <c r="D28" s="127">
        <v>19.16</v>
      </c>
      <c r="E28" s="178"/>
      <c r="F28" s="288">
        <f t="shared" si="0"/>
        <v>49130.072</v>
      </c>
      <c r="G28" s="127"/>
      <c r="H28" s="127"/>
      <c r="I28" s="127">
        <v>532990.5</v>
      </c>
      <c r="J28" s="127">
        <v>93633.94</v>
      </c>
      <c r="K28" s="127"/>
      <c r="L28" s="127">
        <v>4426.9799999999996</v>
      </c>
      <c r="M28" s="127"/>
      <c r="N28" s="127">
        <v>40913.08</v>
      </c>
      <c r="O28" s="127">
        <f t="shared" si="1"/>
        <v>53835.379000000001</v>
      </c>
      <c r="P28" s="127"/>
    </row>
    <row r="29" spans="1:16">
      <c r="A29" s="127"/>
      <c r="B29" s="296" t="s">
        <v>1002</v>
      </c>
      <c r="C29" s="127">
        <v>2637.5</v>
      </c>
      <c r="D29" s="127">
        <v>19.16</v>
      </c>
      <c r="E29" s="178"/>
      <c r="F29" s="288">
        <f t="shared" si="0"/>
        <v>50534.5</v>
      </c>
      <c r="G29" s="127"/>
      <c r="H29" s="127"/>
      <c r="I29" s="127">
        <v>553603.14</v>
      </c>
      <c r="J29" s="127">
        <v>158325.79999999999</v>
      </c>
      <c r="K29" s="127"/>
      <c r="L29" s="127">
        <v>8891.7000000000007</v>
      </c>
      <c r="M29" s="127"/>
      <c r="N29" s="127">
        <v>38681.17</v>
      </c>
      <c r="O29" s="127">
        <f t="shared" si="1"/>
        <v>55374.3125</v>
      </c>
      <c r="P29" s="127"/>
    </row>
    <row r="30" spans="1:16">
      <c r="A30" s="127"/>
      <c r="B30" s="296" t="s">
        <v>1010</v>
      </c>
      <c r="C30" s="127">
        <v>2338.1999999999998</v>
      </c>
      <c r="D30" s="127">
        <v>19.16</v>
      </c>
      <c r="E30" s="178">
        <v>28.89</v>
      </c>
      <c r="F30" s="288">
        <f t="shared" si="0"/>
        <v>112350.50999999998</v>
      </c>
      <c r="G30" s="127"/>
      <c r="H30" s="127"/>
      <c r="I30" s="127">
        <v>1173603.04</v>
      </c>
      <c r="J30" s="127">
        <v>540747.46</v>
      </c>
      <c r="K30" s="127"/>
      <c r="L30" s="127">
        <v>62445.760000000002</v>
      </c>
      <c r="M30" s="127"/>
      <c r="N30" s="127">
        <v>37173.49</v>
      </c>
      <c r="O30" s="127">
        <f t="shared" si="1"/>
        <v>49090.508999999998</v>
      </c>
      <c r="P30" s="127"/>
    </row>
    <row r="31" spans="1:16">
      <c r="A31" s="127"/>
      <c r="B31" s="296" t="s">
        <v>1011</v>
      </c>
      <c r="C31" s="127">
        <v>2337.6</v>
      </c>
      <c r="D31" s="127">
        <v>19.16</v>
      </c>
      <c r="E31" s="178">
        <v>28.89</v>
      </c>
      <c r="F31" s="288">
        <f t="shared" si="0"/>
        <v>112321.68</v>
      </c>
      <c r="G31" s="127"/>
      <c r="H31" s="127"/>
      <c r="I31" s="127">
        <v>1117296.04</v>
      </c>
      <c r="J31" s="127">
        <v>520693.38</v>
      </c>
      <c r="K31" s="127"/>
      <c r="L31" s="127">
        <v>52939.99</v>
      </c>
      <c r="M31" s="127"/>
      <c r="N31" s="127">
        <v>54456.7</v>
      </c>
      <c r="O31" s="127">
        <f t="shared" si="1"/>
        <v>49077.912000000004</v>
      </c>
      <c r="P31" s="127"/>
    </row>
    <row r="32" spans="1:16">
      <c r="A32" s="127"/>
      <c r="B32" s="296" t="s">
        <v>997</v>
      </c>
      <c r="C32" s="127">
        <v>3234.44</v>
      </c>
      <c r="D32" s="127">
        <v>19.16</v>
      </c>
      <c r="E32" s="178"/>
      <c r="F32" s="288">
        <f t="shared" si="0"/>
        <v>61971.8704</v>
      </c>
      <c r="G32" s="127"/>
      <c r="H32" s="127"/>
      <c r="I32" s="127">
        <v>727056.25</v>
      </c>
      <c r="J32" s="127">
        <v>149020.6</v>
      </c>
      <c r="K32" s="127"/>
      <c r="L32" s="127">
        <v>8161.52</v>
      </c>
      <c r="M32" s="127"/>
      <c r="N32" s="127">
        <v>3746.06</v>
      </c>
      <c r="O32" s="127">
        <f t="shared" si="1"/>
        <v>67907.067800000004</v>
      </c>
      <c r="P32" s="127"/>
    </row>
    <row r="33" spans="1:16">
      <c r="A33" s="127"/>
      <c r="B33" s="296" t="s">
        <v>1012</v>
      </c>
      <c r="C33" s="127">
        <v>2360.1</v>
      </c>
      <c r="D33" s="127">
        <v>19.16</v>
      </c>
      <c r="E33" s="178"/>
      <c r="F33" s="288">
        <f t="shared" si="0"/>
        <v>45219.515999999996</v>
      </c>
      <c r="G33" s="127"/>
      <c r="H33" s="127"/>
      <c r="I33" s="127">
        <v>481634.25</v>
      </c>
      <c r="J33" s="127">
        <v>131721.49</v>
      </c>
      <c r="K33" s="127"/>
      <c r="L33" s="127">
        <v>13274.64</v>
      </c>
      <c r="M33" s="127"/>
      <c r="N33" s="127">
        <v>26393.4</v>
      </c>
      <c r="O33" s="127">
        <f t="shared" si="1"/>
        <v>49550.299500000001</v>
      </c>
      <c r="P33" s="127"/>
    </row>
    <row r="34" spans="1:16">
      <c r="A34" s="127" t="s">
        <v>1013</v>
      </c>
      <c r="B34" s="296" t="s">
        <v>1014</v>
      </c>
      <c r="C34" s="127">
        <v>1236.4000000000001</v>
      </c>
      <c r="D34" s="127">
        <v>17.829999999999998</v>
      </c>
      <c r="E34" s="178"/>
      <c r="F34" s="288">
        <f t="shared" si="0"/>
        <v>22045.011999999999</v>
      </c>
      <c r="G34" s="127"/>
      <c r="H34" s="127"/>
      <c r="I34" s="127">
        <v>447811.28</v>
      </c>
      <c r="J34" s="127">
        <v>67899.39</v>
      </c>
      <c r="K34" s="127"/>
      <c r="L34" s="127">
        <v>2369.44</v>
      </c>
      <c r="M34" s="127">
        <v>217498</v>
      </c>
      <c r="N34" s="127">
        <v>7337.7</v>
      </c>
      <c r="O34" s="127">
        <f t="shared" si="1"/>
        <v>25958.218000000004</v>
      </c>
      <c r="P34" s="127"/>
    </row>
    <row r="35" spans="1:16">
      <c r="A35" s="127" t="s">
        <v>1017</v>
      </c>
      <c r="B35" s="127"/>
      <c r="C35" s="127"/>
      <c r="D35" s="127"/>
      <c r="E35" s="127"/>
      <c r="F35" s="288">
        <f>SUM(F4:F34)</f>
        <v>989197.72239999997</v>
      </c>
      <c r="G35" s="127"/>
      <c r="H35" s="127"/>
      <c r="I35" s="127"/>
      <c r="J35" s="127"/>
      <c r="K35" s="127"/>
      <c r="L35" s="127">
        <f>SUM(L4:L34)</f>
        <v>362517.06000000006</v>
      </c>
      <c r="M35" s="127"/>
      <c r="N35" s="127"/>
      <c r="O35" s="127"/>
      <c r="P35" s="127"/>
    </row>
    <row r="36" spans="1:16">
      <c r="O36">
        <v>20.9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D4" sqref="D4"/>
    </sheetView>
  </sheetViews>
  <sheetFormatPr defaultRowHeight="15"/>
  <cols>
    <col min="1" max="1" width="5.140625" customWidth="1"/>
    <col min="2" max="2" width="18.140625" customWidth="1"/>
    <col min="3" max="3" width="6.5703125" customWidth="1"/>
    <col min="4" max="4" width="16.28515625" customWidth="1"/>
    <col min="5" max="5" width="17.7109375" customWidth="1"/>
    <col min="6" max="6" width="17.42578125" customWidth="1"/>
    <col min="7" max="7" width="17.5703125" customWidth="1"/>
    <col min="8" max="8" width="17.28515625" customWidth="1"/>
    <col min="9" max="9" width="16.140625" customWidth="1"/>
    <col min="10" max="10" width="16.42578125" customWidth="1"/>
  </cols>
  <sheetData>
    <row r="1" spans="1:10" ht="15.75">
      <c r="A1" s="859" t="s">
        <v>3804</v>
      </c>
      <c r="B1" s="859"/>
      <c r="C1" s="859"/>
      <c r="D1" s="859"/>
      <c r="E1" s="859"/>
      <c r="F1" s="859"/>
      <c r="G1" s="859"/>
    </row>
    <row r="2" spans="1:10" ht="15.75">
      <c r="A2" s="662"/>
      <c r="B2" s="662"/>
      <c r="C2" s="662"/>
      <c r="D2" s="662"/>
      <c r="E2" s="662"/>
      <c r="F2" s="662"/>
      <c r="G2" s="662"/>
    </row>
    <row r="3" spans="1:10" s="661" customFormat="1" ht="78.75">
      <c r="A3" s="670" t="s">
        <v>3794</v>
      </c>
      <c r="B3" s="671" t="s">
        <v>3795</v>
      </c>
      <c r="C3" s="670" t="s">
        <v>993</v>
      </c>
      <c r="D3" s="670" t="s">
        <v>3799</v>
      </c>
      <c r="E3" s="670" t="s">
        <v>3796</v>
      </c>
      <c r="F3" s="670" t="s">
        <v>3797</v>
      </c>
      <c r="G3" s="670" t="s">
        <v>3798</v>
      </c>
      <c r="H3" s="673" t="s">
        <v>3805</v>
      </c>
      <c r="I3" s="673" t="s">
        <v>3806</v>
      </c>
      <c r="J3" s="673" t="s">
        <v>3807</v>
      </c>
    </row>
    <row r="4" spans="1:10" s="75" customFormat="1" ht="15.75">
      <c r="A4" s="689">
        <v>1</v>
      </c>
      <c r="B4" s="690" t="s">
        <v>3800</v>
      </c>
      <c r="C4" s="691" t="s">
        <v>996</v>
      </c>
      <c r="D4" s="692">
        <v>80421.179999999993</v>
      </c>
      <c r="E4" s="692">
        <v>292516.27</v>
      </c>
      <c r="F4" s="692">
        <v>177208.77</v>
      </c>
      <c r="G4" s="683">
        <f t="shared" ref="G4:G9" si="0">D4+E4-F4</f>
        <v>195728.68000000002</v>
      </c>
      <c r="H4" s="683">
        <f t="shared" ref="H4:H9" si="1">G4</f>
        <v>195728.68000000002</v>
      </c>
      <c r="I4" s="683"/>
      <c r="J4" s="76">
        <v>93774.32</v>
      </c>
    </row>
    <row r="5" spans="1:10" s="75" customFormat="1" ht="15.75">
      <c r="A5" s="689">
        <v>2</v>
      </c>
      <c r="B5" s="690" t="s">
        <v>3800</v>
      </c>
      <c r="C5" s="691" t="s">
        <v>997</v>
      </c>
      <c r="D5" s="692">
        <v>-14910.47</v>
      </c>
      <c r="E5" s="692">
        <v>245070.06</v>
      </c>
      <c r="F5" s="692">
        <v>196774.52</v>
      </c>
      <c r="G5" s="683">
        <f t="shared" si="0"/>
        <v>33385.070000000007</v>
      </c>
      <c r="H5" s="683">
        <f t="shared" si="1"/>
        <v>33385.070000000007</v>
      </c>
      <c r="I5" s="683"/>
      <c r="J5" s="76">
        <v>101767.05</v>
      </c>
    </row>
    <row r="6" spans="1:10" s="75" customFormat="1" ht="15.75">
      <c r="A6" s="689">
        <v>3</v>
      </c>
      <c r="B6" s="690" t="s">
        <v>3800</v>
      </c>
      <c r="C6" s="691" t="s">
        <v>998</v>
      </c>
      <c r="D6" s="692">
        <v>-7934.89</v>
      </c>
      <c r="E6" s="692">
        <v>110089.76</v>
      </c>
      <c r="F6" s="692">
        <v>80746.66</v>
      </c>
      <c r="G6" s="683">
        <f t="shared" si="0"/>
        <v>21408.209999999992</v>
      </c>
      <c r="H6" s="683">
        <f t="shared" si="1"/>
        <v>21408.209999999992</v>
      </c>
      <c r="I6" s="683"/>
      <c r="J6" s="76">
        <v>81375.839999999997</v>
      </c>
    </row>
    <row r="7" spans="1:10" s="75" customFormat="1" ht="15.75">
      <c r="A7" s="689">
        <v>4</v>
      </c>
      <c r="B7" s="690" t="s">
        <v>999</v>
      </c>
      <c r="C7" s="691">
        <v>1</v>
      </c>
      <c r="D7" s="692">
        <v>36979.599999999999</v>
      </c>
      <c r="E7" s="692">
        <v>212157.44</v>
      </c>
      <c r="F7" s="692">
        <v>116436.94</v>
      </c>
      <c r="G7" s="683">
        <f t="shared" si="0"/>
        <v>132700.1</v>
      </c>
      <c r="H7" s="683">
        <f t="shared" si="1"/>
        <v>132700.1</v>
      </c>
      <c r="I7" s="683"/>
      <c r="J7" s="76">
        <v>73788.03</v>
      </c>
    </row>
    <row r="8" spans="1:10" s="75" customFormat="1" ht="15.75">
      <c r="A8" s="693">
        <v>5</v>
      </c>
      <c r="B8" s="694" t="s">
        <v>999</v>
      </c>
      <c r="C8" s="695" t="s">
        <v>1000</v>
      </c>
      <c r="D8" s="692">
        <v>42173.99</v>
      </c>
      <c r="E8" s="692">
        <v>145174.87</v>
      </c>
      <c r="F8" s="692">
        <v>137614.03</v>
      </c>
      <c r="G8" s="683">
        <f t="shared" si="0"/>
        <v>49734.829999999987</v>
      </c>
      <c r="H8" s="683">
        <f t="shared" si="1"/>
        <v>49734.829999999987</v>
      </c>
      <c r="I8" s="683"/>
      <c r="J8" s="76">
        <v>12062.8</v>
      </c>
    </row>
    <row r="9" spans="1:10" s="75" customFormat="1" ht="15.75">
      <c r="A9" s="689">
        <v>6</v>
      </c>
      <c r="B9" s="690" t="s">
        <v>999</v>
      </c>
      <c r="C9" s="691" t="s">
        <v>1002</v>
      </c>
      <c r="D9" s="692">
        <v>63078.26</v>
      </c>
      <c r="E9" s="692">
        <v>145640.97</v>
      </c>
      <c r="F9" s="692">
        <v>88146.33</v>
      </c>
      <c r="G9" s="683">
        <f t="shared" si="0"/>
        <v>120572.90000000001</v>
      </c>
      <c r="H9" s="683">
        <f t="shared" si="1"/>
        <v>120572.90000000001</v>
      </c>
      <c r="I9" s="683"/>
      <c r="J9" s="76">
        <v>11760.87</v>
      </c>
    </row>
    <row r="10" spans="1:10" ht="15.75">
      <c r="A10" s="676">
        <v>7</v>
      </c>
      <c r="B10" s="666" t="s">
        <v>1003</v>
      </c>
      <c r="C10" s="668" t="s">
        <v>1001</v>
      </c>
      <c r="D10" s="663">
        <v>-32394.71</v>
      </c>
      <c r="E10" s="663">
        <v>202781</v>
      </c>
      <c r="F10" s="663">
        <v>198356.35</v>
      </c>
      <c r="G10" s="663">
        <f>D10+E10-F10</f>
        <v>-27970.059999999998</v>
      </c>
      <c r="H10" s="663"/>
      <c r="I10" s="663">
        <f>G10</f>
        <v>-27970.059999999998</v>
      </c>
      <c r="J10" s="127">
        <v>37309</v>
      </c>
    </row>
    <row r="11" spans="1:10" ht="15.75">
      <c r="A11" s="676">
        <v>8</v>
      </c>
      <c r="B11" s="666" t="s">
        <v>1003</v>
      </c>
      <c r="C11" s="668" t="s">
        <v>1004</v>
      </c>
      <c r="D11" s="663">
        <v>-23423.51</v>
      </c>
      <c r="E11" s="663">
        <v>160767.20000000001</v>
      </c>
      <c r="F11" s="663">
        <v>214892.72</v>
      </c>
      <c r="G11" s="663">
        <f t="shared" ref="G11:G33" si="2">D11+E11-F11</f>
        <v>-77549.03</v>
      </c>
      <c r="H11" s="663"/>
      <c r="I11" s="663">
        <f>G11</f>
        <v>-77549.03</v>
      </c>
      <c r="J11" s="127">
        <v>77785.600000000006</v>
      </c>
    </row>
    <row r="12" spans="1:10" s="75" customFormat="1" ht="15.75">
      <c r="A12" s="685">
        <v>9</v>
      </c>
      <c r="B12" s="687" t="s">
        <v>1003</v>
      </c>
      <c r="C12" s="684" t="s">
        <v>1005</v>
      </c>
      <c r="D12" s="683">
        <v>66127.929999999993</v>
      </c>
      <c r="E12" s="683">
        <v>182900.65</v>
      </c>
      <c r="F12" s="683">
        <v>133808.69</v>
      </c>
      <c r="G12" s="683">
        <f t="shared" si="2"/>
        <v>115219.88999999998</v>
      </c>
      <c r="H12" s="683">
        <f>G12</f>
        <v>115219.88999999998</v>
      </c>
      <c r="I12" s="683"/>
      <c r="J12" s="76">
        <v>50774.05</v>
      </c>
    </row>
    <row r="13" spans="1:10" s="75" customFormat="1" ht="15.75">
      <c r="A13" s="680">
        <v>10</v>
      </c>
      <c r="B13" s="681" t="s">
        <v>3801</v>
      </c>
      <c r="C13" s="688" t="s">
        <v>1024</v>
      </c>
      <c r="D13" s="683">
        <v>1626.48</v>
      </c>
      <c r="E13" s="683">
        <v>45084.08</v>
      </c>
      <c r="F13" s="683">
        <v>37004.129999999997</v>
      </c>
      <c r="G13" s="683">
        <f t="shared" si="2"/>
        <v>9706.4300000000076</v>
      </c>
      <c r="H13" s="683">
        <f>G13</f>
        <v>9706.4300000000076</v>
      </c>
      <c r="I13" s="683"/>
      <c r="J13" s="76">
        <v>6669.95</v>
      </c>
    </row>
    <row r="14" spans="1:10" ht="15.75">
      <c r="A14" s="676">
        <v>11</v>
      </c>
      <c r="B14" s="667" t="s">
        <v>3802</v>
      </c>
      <c r="C14" s="677" t="s">
        <v>1000</v>
      </c>
      <c r="D14" s="663">
        <v>-346304.54</v>
      </c>
      <c r="E14" s="663">
        <v>619034.49</v>
      </c>
      <c r="F14" s="663">
        <v>540754.27</v>
      </c>
      <c r="G14" s="663">
        <f t="shared" si="2"/>
        <v>-268024.32000000001</v>
      </c>
      <c r="H14" s="663"/>
      <c r="I14" s="663">
        <f>G14</f>
        <v>-268024.32000000001</v>
      </c>
      <c r="J14" s="127">
        <v>113810.33</v>
      </c>
    </row>
    <row r="15" spans="1:10" ht="15.75">
      <c r="A15" s="676">
        <v>12</v>
      </c>
      <c r="B15" s="667" t="s">
        <v>3802</v>
      </c>
      <c r="C15" s="677" t="s">
        <v>1001</v>
      </c>
      <c r="D15" s="663">
        <v>-438784.12</v>
      </c>
      <c r="E15" s="663">
        <v>582723.01</v>
      </c>
      <c r="F15" s="663">
        <v>578242.15</v>
      </c>
      <c r="G15" s="663">
        <f t="shared" si="2"/>
        <v>-434303.26</v>
      </c>
      <c r="H15" s="663"/>
      <c r="I15" s="663">
        <f>G15</f>
        <v>-434303.26</v>
      </c>
      <c r="J15" s="127">
        <v>140145.07</v>
      </c>
    </row>
    <row r="16" spans="1:10" ht="15.75">
      <c r="A16" s="676">
        <v>13</v>
      </c>
      <c r="B16" s="667" t="s">
        <v>3803</v>
      </c>
      <c r="C16" s="668">
        <v>2</v>
      </c>
      <c r="D16" s="663">
        <v>-8351.34</v>
      </c>
      <c r="E16" s="663">
        <v>84451.25</v>
      </c>
      <c r="F16" s="663">
        <v>80832.69</v>
      </c>
      <c r="G16" s="663">
        <f t="shared" si="2"/>
        <v>-4732.7799999999988</v>
      </c>
      <c r="H16" s="663"/>
      <c r="I16" s="663">
        <f>G16</f>
        <v>-4732.7799999999988</v>
      </c>
      <c r="J16" s="127">
        <v>1664.46</v>
      </c>
    </row>
    <row r="17" spans="1:10" ht="15.75">
      <c r="A17" s="676">
        <v>14</v>
      </c>
      <c r="B17" s="667" t="s">
        <v>3803</v>
      </c>
      <c r="C17" s="668">
        <v>4</v>
      </c>
      <c r="D17" s="663">
        <v>-17194.599999999999</v>
      </c>
      <c r="E17" s="663">
        <v>41817.86</v>
      </c>
      <c r="F17" s="663">
        <v>50201.36</v>
      </c>
      <c r="G17" s="663">
        <f t="shared" si="2"/>
        <v>-25578.1</v>
      </c>
      <c r="H17" s="663"/>
      <c r="I17" s="663">
        <f>G17</f>
        <v>-25578.1</v>
      </c>
      <c r="J17" s="127">
        <v>29893.68</v>
      </c>
    </row>
    <row r="18" spans="1:10" s="75" customFormat="1" ht="15.75">
      <c r="A18" s="680">
        <v>15</v>
      </c>
      <c r="B18" s="681" t="s">
        <v>3803</v>
      </c>
      <c r="C18" s="682">
        <v>6</v>
      </c>
      <c r="D18" s="683">
        <v>341.4</v>
      </c>
      <c r="E18" s="683">
        <v>149498.39000000001</v>
      </c>
      <c r="F18" s="683">
        <v>110521.71</v>
      </c>
      <c r="G18" s="683">
        <f t="shared" si="2"/>
        <v>39318.080000000002</v>
      </c>
      <c r="H18" s="683">
        <f>G18</f>
        <v>39318.080000000002</v>
      </c>
      <c r="I18" s="683"/>
      <c r="J18" s="76">
        <v>11525.31</v>
      </c>
    </row>
    <row r="19" spans="1:10" ht="15.75">
      <c r="A19" s="675">
        <v>16</v>
      </c>
      <c r="B19" s="665" t="s">
        <v>3803</v>
      </c>
      <c r="C19" s="664">
        <v>14</v>
      </c>
      <c r="D19" s="663">
        <v>-225604.14</v>
      </c>
      <c r="E19" s="663">
        <v>245831.03</v>
      </c>
      <c r="F19" s="663">
        <v>258591.94</v>
      </c>
      <c r="G19" s="663">
        <f t="shared" si="2"/>
        <v>-238365.05000000002</v>
      </c>
      <c r="H19" s="663"/>
      <c r="I19" s="663">
        <f>G19</f>
        <v>-238365.05000000002</v>
      </c>
      <c r="J19" s="127">
        <v>110417.69</v>
      </c>
    </row>
    <row r="20" spans="1:10" ht="15.75">
      <c r="A20" s="676">
        <v>17</v>
      </c>
      <c r="B20" s="667" t="s">
        <v>3803</v>
      </c>
      <c r="C20" s="668">
        <v>16</v>
      </c>
      <c r="D20" s="663">
        <v>-45780.25</v>
      </c>
      <c r="E20" s="663">
        <v>230574.65</v>
      </c>
      <c r="F20" s="663">
        <v>286454.46999999997</v>
      </c>
      <c r="G20" s="663">
        <f t="shared" si="2"/>
        <v>-101660.06999999998</v>
      </c>
      <c r="H20" s="663"/>
      <c r="I20" s="663">
        <f>G20</f>
        <v>-101660.06999999998</v>
      </c>
      <c r="J20" s="127">
        <v>122525.79</v>
      </c>
    </row>
    <row r="21" spans="1:10" s="75" customFormat="1" ht="15.75">
      <c r="A21" s="685">
        <v>18</v>
      </c>
      <c r="B21" s="686" t="s">
        <v>3803</v>
      </c>
      <c r="C21" s="684">
        <v>18</v>
      </c>
      <c r="D21" s="683">
        <v>22637.03</v>
      </c>
      <c r="E21" s="683">
        <v>277779.89</v>
      </c>
      <c r="F21" s="683">
        <v>236677.4</v>
      </c>
      <c r="G21" s="683">
        <f t="shared" si="2"/>
        <v>63739.520000000048</v>
      </c>
      <c r="H21" s="683">
        <f>G21</f>
        <v>63739.520000000048</v>
      </c>
      <c r="I21" s="683"/>
      <c r="J21" s="76">
        <v>10051.31</v>
      </c>
    </row>
    <row r="22" spans="1:10" ht="15.75">
      <c r="A22" s="676">
        <v>19</v>
      </c>
      <c r="B22" s="667" t="s">
        <v>3803</v>
      </c>
      <c r="C22" s="668">
        <v>20</v>
      </c>
      <c r="D22" s="663">
        <v>-68768.89</v>
      </c>
      <c r="E22" s="663">
        <v>229492.89</v>
      </c>
      <c r="F22" s="663">
        <v>290871.43</v>
      </c>
      <c r="G22" s="663">
        <f t="shared" si="2"/>
        <v>-130147.43</v>
      </c>
      <c r="H22" s="663"/>
      <c r="I22" s="663">
        <f>G22</f>
        <v>-130147.43</v>
      </c>
      <c r="J22" s="127">
        <v>127547.21</v>
      </c>
    </row>
    <row r="23" spans="1:10" s="75" customFormat="1" ht="15.75">
      <c r="A23" s="680">
        <v>20</v>
      </c>
      <c r="B23" s="681" t="s">
        <v>3803</v>
      </c>
      <c r="C23" s="682" t="s">
        <v>1008</v>
      </c>
      <c r="D23" s="683">
        <v>-710.11</v>
      </c>
      <c r="E23" s="683">
        <v>275533.78000000003</v>
      </c>
      <c r="F23" s="683">
        <v>265812.62</v>
      </c>
      <c r="G23" s="683">
        <f t="shared" si="2"/>
        <v>9011.0500000000466</v>
      </c>
      <c r="H23" s="683">
        <f>G23</f>
        <v>9011.0500000000466</v>
      </c>
      <c r="I23" s="683"/>
      <c r="J23" s="76">
        <v>61311.34</v>
      </c>
    </row>
    <row r="24" spans="1:10" ht="15.75">
      <c r="A24" s="675">
        <v>21</v>
      </c>
      <c r="B24" s="665" t="s">
        <v>1009</v>
      </c>
      <c r="C24" s="664">
        <v>2</v>
      </c>
      <c r="D24" s="663">
        <v>0</v>
      </c>
      <c r="E24" s="663">
        <v>76281</v>
      </c>
      <c r="F24" s="663">
        <v>83509.45</v>
      </c>
      <c r="G24" s="663">
        <f t="shared" si="2"/>
        <v>-7228.4499999999971</v>
      </c>
      <c r="H24" s="663"/>
      <c r="I24" s="663">
        <f>G24</f>
        <v>-7228.4499999999971</v>
      </c>
      <c r="J24" s="127">
        <v>5967.39</v>
      </c>
    </row>
    <row r="25" spans="1:10" s="75" customFormat="1" ht="15.75">
      <c r="A25" s="680">
        <v>22</v>
      </c>
      <c r="B25" s="681" t="s">
        <v>1009</v>
      </c>
      <c r="C25" s="684" t="s">
        <v>1000</v>
      </c>
      <c r="D25" s="683">
        <v>-52860.69</v>
      </c>
      <c r="E25" s="683">
        <v>1046825.24</v>
      </c>
      <c r="F25" s="683">
        <v>975780.43</v>
      </c>
      <c r="G25" s="683">
        <f t="shared" si="2"/>
        <v>18184.119999999995</v>
      </c>
      <c r="H25" s="683">
        <f>G25</f>
        <v>18184.119999999995</v>
      </c>
      <c r="I25" s="683"/>
      <c r="J25" s="76">
        <v>368188.62</v>
      </c>
    </row>
    <row r="26" spans="1:10" ht="15.75">
      <c r="A26" s="675">
        <v>23</v>
      </c>
      <c r="B26" s="665" t="s">
        <v>1009</v>
      </c>
      <c r="C26" s="664" t="s">
        <v>1001</v>
      </c>
      <c r="D26" s="663">
        <v>-107545.82</v>
      </c>
      <c r="E26" s="663">
        <v>517275.41</v>
      </c>
      <c r="F26" s="663">
        <v>517761.11</v>
      </c>
      <c r="G26" s="663">
        <f t="shared" si="2"/>
        <v>-108031.52000000002</v>
      </c>
      <c r="H26" s="663"/>
      <c r="I26" s="663">
        <f>G26</f>
        <v>-108031.52000000002</v>
      </c>
      <c r="J26" s="127">
        <v>159207.32999999999</v>
      </c>
    </row>
    <row r="27" spans="1:10" ht="15.75">
      <c r="A27" s="676">
        <v>24</v>
      </c>
      <c r="B27" s="667" t="s">
        <v>1009</v>
      </c>
      <c r="C27" s="668" t="s">
        <v>1005</v>
      </c>
      <c r="D27" s="663">
        <v>-127878.46</v>
      </c>
      <c r="E27" s="663">
        <v>530532.13</v>
      </c>
      <c r="F27" s="663">
        <v>509078.9</v>
      </c>
      <c r="G27" s="663">
        <f t="shared" si="2"/>
        <v>-106425.23000000004</v>
      </c>
      <c r="H27" s="663"/>
      <c r="I27" s="663">
        <f>G27</f>
        <v>-106425.23000000004</v>
      </c>
      <c r="J27" s="127">
        <v>147213.87</v>
      </c>
    </row>
    <row r="28" spans="1:10" ht="15.75">
      <c r="A28" s="676">
        <v>25</v>
      </c>
      <c r="B28" s="667" t="s">
        <v>1009</v>
      </c>
      <c r="C28" s="668" t="s">
        <v>1002</v>
      </c>
      <c r="D28" s="663">
        <v>-99189.53</v>
      </c>
      <c r="E28" s="663">
        <v>549377.29</v>
      </c>
      <c r="F28" s="663">
        <v>456374.92</v>
      </c>
      <c r="G28" s="663">
        <f t="shared" si="2"/>
        <v>-6187.1599999999744</v>
      </c>
      <c r="H28" s="663"/>
      <c r="I28" s="663">
        <f>G28</f>
        <v>-6187.1599999999744</v>
      </c>
      <c r="J28" s="127">
        <v>208814.17</v>
      </c>
    </row>
    <row r="29" spans="1:10" ht="15.75">
      <c r="A29" s="675">
        <v>26</v>
      </c>
      <c r="B29" s="665" t="s">
        <v>1009</v>
      </c>
      <c r="C29" s="664" t="s">
        <v>1010</v>
      </c>
      <c r="D29" s="663">
        <v>-864237.1</v>
      </c>
      <c r="E29" s="663">
        <v>1159533.74</v>
      </c>
      <c r="F29" s="663">
        <v>1292623.46</v>
      </c>
      <c r="G29" s="663">
        <f t="shared" si="2"/>
        <v>-997326.82</v>
      </c>
      <c r="H29" s="663"/>
      <c r="I29" s="663">
        <f>G29</f>
        <v>-997326.82</v>
      </c>
      <c r="J29" s="127">
        <v>745277.72</v>
      </c>
    </row>
    <row r="30" spans="1:10" ht="15.75">
      <c r="A30" s="675">
        <v>27</v>
      </c>
      <c r="B30" s="665" t="s">
        <v>1009</v>
      </c>
      <c r="C30" s="664" t="s">
        <v>1011</v>
      </c>
      <c r="D30" s="663">
        <v>-736808.85</v>
      </c>
      <c r="E30" s="663">
        <v>1098764.6200000001</v>
      </c>
      <c r="F30" s="663">
        <v>1350930.53</v>
      </c>
      <c r="G30" s="663">
        <f t="shared" si="2"/>
        <v>-988974.75999999989</v>
      </c>
      <c r="H30" s="663"/>
      <c r="I30" s="663">
        <f>G30</f>
        <v>-988974.75999999989</v>
      </c>
      <c r="J30" s="127">
        <v>785464.02</v>
      </c>
    </row>
    <row r="31" spans="1:10" s="75" customFormat="1" ht="15.75">
      <c r="A31" s="680">
        <v>28</v>
      </c>
      <c r="B31" s="681" t="s">
        <v>1009</v>
      </c>
      <c r="C31" s="682" t="s">
        <v>997</v>
      </c>
      <c r="D31" s="683">
        <v>-41518.300000000003</v>
      </c>
      <c r="E31" s="683">
        <v>722012.01</v>
      </c>
      <c r="F31" s="683">
        <v>544783.64</v>
      </c>
      <c r="G31" s="683">
        <f t="shared" si="2"/>
        <v>135710.06999999995</v>
      </c>
      <c r="H31" s="683">
        <f>G31</f>
        <v>135710.06999999995</v>
      </c>
      <c r="I31" s="683"/>
      <c r="J31" s="76">
        <v>210278.04</v>
      </c>
    </row>
    <row r="32" spans="1:10" ht="15.75">
      <c r="A32" s="675">
        <v>29</v>
      </c>
      <c r="B32" s="665" t="s">
        <v>1009</v>
      </c>
      <c r="C32" s="664" t="s">
        <v>1012</v>
      </c>
      <c r="D32" s="663">
        <v>-226374.38</v>
      </c>
      <c r="E32" s="663">
        <v>476071</v>
      </c>
      <c r="F32" s="663">
        <v>515705.16</v>
      </c>
      <c r="G32" s="663">
        <f t="shared" si="2"/>
        <v>-266008.53999999998</v>
      </c>
      <c r="H32" s="663"/>
      <c r="I32" s="663">
        <f>G32</f>
        <v>-266008.53999999998</v>
      </c>
      <c r="J32" s="127">
        <v>199640.26</v>
      </c>
    </row>
    <row r="33" spans="1:10" ht="15.75">
      <c r="A33" s="675">
        <v>30</v>
      </c>
      <c r="B33" s="665" t="s">
        <v>1013</v>
      </c>
      <c r="C33" s="664" t="s">
        <v>1014</v>
      </c>
      <c r="D33" s="663">
        <v>-206259</v>
      </c>
      <c r="E33" s="663">
        <v>445633.18</v>
      </c>
      <c r="F33" s="663">
        <v>473359.37</v>
      </c>
      <c r="G33" s="663">
        <f t="shared" si="2"/>
        <v>-233985.19</v>
      </c>
      <c r="H33" s="663"/>
      <c r="I33" s="663">
        <f>G33</f>
        <v>-233985.19</v>
      </c>
      <c r="J33" s="127">
        <v>82158</v>
      </c>
    </row>
    <row r="34" spans="1:10" s="661" customFormat="1" ht="15.75">
      <c r="A34" s="676"/>
      <c r="B34" s="667" t="s">
        <v>1017</v>
      </c>
      <c r="C34" s="668"/>
      <c r="D34" s="669">
        <f>SUM(D4:D33)</f>
        <v>-3379447.8299999996</v>
      </c>
      <c r="E34" s="669">
        <f t="shared" ref="E34:G34" si="3">SUM(E4:E33)</f>
        <v>11101225.16</v>
      </c>
      <c r="F34" s="669">
        <f t="shared" si="3"/>
        <v>10799856.15</v>
      </c>
      <c r="G34" s="669">
        <f t="shared" si="3"/>
        <v>-3078078.82</v>
      </c>
      <c r="H34" s="669">
        <f>SUM(H4:H33)</f>
        <v>944418.95000000007</v>
      </c>
      <c r="I34" s="669">
        <f>SUM(I4:I33)</f>
        <v>-4022497.7699999996</v>
      </c>
      <c r="J34" s="674">
        <f>SUM(J4:J33)</f>
        <v>4188169.12</v>
      </c>
    </row>
    <row r="35" spans="1:10">
      <c r="F35" s="672">
        <f>E34-F34</f>
        <v>301369.00999999978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64"/>
  <sheetViews>
    <sheetView topLeftCell="A132" zoomScale="110" zoomScaleNormal="110" workbookViewId="0">
      <selection activeCell="A131" sqref="A131:B159"/>
    </sheetView>
  </sheetViews>
  <sheetFormatPr defaultRowHeight="15"/>
  <cols>
    <col min="1" max="1" width="83.85546875" customWidth="1"/>
    <col min="2" max="2" width="10.85546875" customWidth="1"/>
    <col min="3" max="3" width="14.140625" customWidth="1"/>
  </cols>
  <sheetData>
    <row r="1" spans="1:2">
      <c r="A1" s="740" t="s">
        <v>230</v>
      </c>
      <c r="B1" s="740"/>
    </row>
    <row r="2" spans="1:2" ht="51.75" customHeight="1">
      <c r="A2" s="741" t="s">
        <v>1234</v>
      </c>
      <c r="B2" s="741"/>
    </row>
    <row r="3" spans="1:2" s="55" customFormat="1">
      <c r="A3" s="172"/>
      <c r="B3" s="86"/>
    </row>
    <row r="4" spans="1:2" ht="15" customHeight="1">
      <c r="A4" s="333" t="s">
        <v>229</v>
      </c>
      <c r="B4" s="82" t="s">
        <v>523</v>
      </c>
    </row>
    <row r="5" spans="1:2" ht="15.75" thickBot="1">
      <c r="A5" s="337" t="s">
        <v>0</v>
      </c>
      <c r="B5" s="76"/>
    </row>
    <row r="6" spans="1:2" ht="15.75" thickBot="1">
      <c r="A6" s="338" t="s">
        <v>255</v>
      </c>
      <c r="B6" s="76"/>
    </row>
    <row r="7" spans="1:2" ht="15.75" thickBot="1">
      <c r="A7" s="335" t="s">
        <v>56</v>
      </c>
      <c r="B7" s="76"/>
    </row>
    <row r="8" spans="1:2" ht="15.75" thickBot="1">
      <c r="A8" s="339" t="s">
        <v>57</v>
      </c>
      <c r="B8" s="76"/>
    </row>
    <row r="9" spans="1:2" s="73" customFormat="1" ht="28.5">
      <c r="A9" s="131" t="s">
        <v>738</v>
      </c>
      <c r="B9" s="72">
        <v>4</v>
      </c>
    </row>
    <row r="10" spans="1:2" s="73" customFormat="1" ht="28.5">
      <c r="A10" s="331" t="s">
        <v>744</v>
      </c>
      <c r="B10" s="72">
        <v>9</v>
      </c>
    </row>
    <row r="11" spans="1:2" s="73" customFormat="1">
      <c r="A11" s="171" t="s">
        <v>745</v>
      </c>
      <c r="B11" s="72">
        <v>6</v>
      </c>
    </row>
    <row r="12" spans="1:2" s="73" customFormat="1" ht="20.25" customHeight="1">
      <c r="A12" s="255" t="s">
        <v>1178</v>
      </c>
      <c r="B12" s="72">
        <v>2</v>
      </c>
    </row>
    <row r="13" spans="1:2" s="73" customFormat="1" ht="28.5">
      <c r="A13" s="255" t="s">
        <v>767</v>
      </c>
      <c r="B13" s="72">
        <v>2</v>
      </c>
    </row>
    <row r="14" spans="1:2" s="73" customFormat="1" ht="28.5">
      <c r="A14" s="255" t="s">
        <v>766</v>
      </c>
      <c r="B14" s="72">
        <v>2</v>
      </c>
    </row>
    <row r="15" spans="1:2" s="73" customFormat="1" ht="22.5" customHeight="1">
      <c r="A15" s="186" t="s">
        <v>764</v>
      </c>
      <c r="B15" s="72">
        <v>1.5</v>
      </c>
    </row>
    <row r="16" spans="1:2" s="73" customFormat="1" ht="15" customHeight="1">
      <c r="A16" s="85" t="s">
        <v>762</v>
      </c>
      <c r="B16" s="72">
        <v>4</v>
      </c>
    </row>
    <row r="17" spans="1:2" s="73" customFormat="1" ht="28.5">
      <c r="A17" s="171" t="s">
        <v>765</v>
      </c>
      <c r="B17" s="72">
        <v>2</v>
      </c>
    </row>
    <row r="18" spans="1:2" s="73" customFormat="1" ht="28.5">
      <c r="A18" s="171" t="s">
        <v>1180</v>
      </c>
      <c r="B18" s="72">
        <v>2</v>
      </c>
    </row>
    <row r="19" spans="1:2" s="73" customFormat="1" ht="28.5">
      <c r="A19" s="171" t="s">
        <v>778</v>
      </c>
      <c r="B19" s="72">
        <v>1</v>
      </c>
    </row>
    <row r="20" spans="1:2" s="73" customFormat="1" ht="28.5">
      <c r="A20" s="171" t="s">
        <v>777</v>
      </c>
      <c r="B20" s="72">
        <v>3</v>
      </c>
    </row>
    <row r="21" spans="1:2" s="73" customFormat="1" ht="28.5">
      <c r="A21" s="171" t="s">
        <v>783</v>
      </c>
      <c r="B21" s="72">
        <v>2</v>
      </c>
    </row>
    <row r="22" spans="1:2" s="73" customFormat="1" ht="28.5">
      <c r="A22" s="171" t="s">
        <v>776</v>
      </c>
      <c r="B22" s="72"/>
    </row>
    <row r="23" spans="1:2" s="73" customFormat="1" ht="28.5">
      <c r="A23" s="171" t="s">
        <v>775</v>
      </c>
      <c r="B23" s="72">
        <v>4</v>
      </c>
    </row>
    <row r="24" spans="1:2" s="73" customFormat="1" ht="28.5">
      <c r="A24" s="171" t="s">
        <v>1184</v>
      </c>
      <c r="B24" s="72">
        <v>2</v>
      </c>
    </row>
    <row r="25" spans="1:2" s="73" customFormat="1" ht="28.5">
      <c r="A25" s="171" t="s">
        <v>1185</v>
      </c>
      <c r="B25" s="72">
        <v>16</v>
      </c>
    </row>
    <row r="26" spans="1:2" s="73" customFormat="1" ht="28.5">
      <c r="A26" s="171" t="s">
        <v>1188</v>
      </c>
      <c r="B26" s="72">
        <v>4</v>
      </c>
    </row>
    <row r="27" spans="1:2" s="73" customFormat="1" ht="28.5">
      <c r="A27" s="171" t="s">
        <v>1199</v>
      </c>
      <c r="B27" s="72">
        <v>1</v>
      </c>
    </row>
    <row r="28" spans="1:2" s="73" customFormat="1" ht="28.5">
      <c r="A28" s="171" t="s">
        <v>1209</v>
      </c>
      <c r="B28" s="72">
        <v>8</v>
      </c>
    </row>
    <row r="29" spans="1:2" s="73" customFormat="1" ht="28.5">
      <c r="A29" s="267" t="s">
        <v>1212</v>
      </c>
      <c r="B29" s="72">
        <v>2</v>
      </c>
    </row>
    <row r="30" spans="1:2" s="73" customFormat="1" ht="28.5">
      <c r="A30" s="171" t="s">
        <v>1213</v>
      </c>
      <c r="B30" s="72">
        <v>4</v>
      </c>
    </row>
    <row r="31" spans="1:2" s="73" customFormat="1">
      <c r="A31" s="171" t="s">
        <v>1219</v>
      </c>
      <c r="B31" s="72">
        <v>8</v>
      </c>
    </row>
    <row r="32" spans="1:2" s="73" customFormat="1" ht="28.5">
      <c r="A32" s="171" t="s">
        <v>1220</v>
      </c>
      <c r="B32" s="72">
        <v>8</v>
      </c>
    </row>
    <row r="33" spans="1:2" s="75" customFormat="1">
      <c r="A33" s="351" t="s">
        <v>66</v>
      </c>
      <c r="B33" s="76"/>
    </row>
    <row r="34" spans="1:2" s="73" customFormat="1" ht="28.5">
      <c r="A34" s="132" t="s">
        <v>739</v>
      </c>
      <c r="B34" s="72">
        <v>5</v>
      </c>
    </row>
    <row r="35" spans="1:2" s="73" customFormat="1" ht="28.5">
      <c r="A35" s="132" t="s">
        <v>756</v>
      </c>
      <c r="B35" s="72">
        <v>4</v>
      </c>
    </row>
    <row r="36" spans="1:2" s="73" customFormat="1">
      <c r="A36" s="132" t="s">
        <v>757</v>
      </c>
      <c r="B36" s="72">
        <v>3</v>
      </c>
    </row>
    <row r="37" spans="1:2" s="73" customFormat="1" ht="28.5">
      <c r="A37" s="132" t="s">
        <v>755</v>
      </c>
      <c r="B37" s="72">
        <v>3</v>
      </c>
    </row>
    <row r="38" spans="1:2" s="73" customFormat="1">
      <c r="A38" s="132" t="s">
        <v>753</v>
      </c>
      <c r="B38" s="72">
        <v>1.5</v>
      </c>
    </row>
    <row r="39" spans="1:2" s="73" customFormat="1" ht="28.5">
      <c r="A39" s="132" t="s">
        <v>754</v>
      </c>
      <c r="B39" s="72">
        <v>1.5</v>
      </c>
    </row>
    <row r="40" spans="1:2" s="73" customFormat="1" ht="17.25" customHeight="1">
      <c r="A40" s="132" t="s">
        <v>1174</v>
      </c>
      <c r="B40" s="72">
        <v>2</v>
      </c>
    </row>
    <row r="41" spans="1:2" s="73" customFormat="1" ht="32.25" customHeight="1">
      <c r="A41" s="132" t="s">
        <v>1175</v>
      </c>
      <c r="B41" s="72">
        <v>1</v>
      </c>
    </row>
    <row r="42" spans="1:2" s="73" customFormat="1" ht="33.75" customHeight="1">
      <c r="A42" s="132" t="s">
        <v>1176</v>
      </c>
      <c r="B42" s="72">
        <v>1</v>
      </c>
    </row>
    <row r="43" spans="1:2" s="73" customFormat="1" ht="28.5">
      <c r="A43" s="132" t="s">
        <v>751</v>
      </c>
      <c r="B43" s="72">
        <v>3</v>
      </c>
    </row>
    <row r="44" spans="1:2" s="73" customFormat="1" ht="21.75" customHeight="1">
      <c r="A44" s="132" t="s">
        <v>752</v>
      </c>
      <c r="B44" s="72">
        <v>4</v>
      </c>
    </row>
    <row r="45" spans="1:2" s="73" customFormat="1">
      <c r="A45" s="132" t="s">
        <v>749</v>
      </c>
      <c r="B45" s="72">
        <v>2.5</v>
      </c>
    </row>
    <row r="46" spans="1:2" s="73" customFormat="1">
      <c r="A46" s="132" t="s">
        <v>750</v>
      </c>
      <c r="B46" s="72">
        <v>3</v>
      </c>
    </row>
    <row r="47" spans="1:2" s="73" customFormat="1">
      <c r="A47" s="132" t="s">
        <v>748</v>
      </c>
      <c r="B47" s="72">
        <v>2.5</v>
      </c>
    </row>
    <row r="48" spans="1:2" s="73" customFormat="1">
      <c r="A48" s="132" t="s">
        <v>747</v>
      </c>
      <c r="B48" s="72">
        <v>2.5</v>
      </c>
    </row>
    <row r="49" spans="1:2" s="73" customFormat="1">
      <c r="A49" s="132" t="s">
        <v>746</v>
      </c>
      <c r="B49" s="72">
        <v>3</v>
      </c>
    </row>
    <row r="50" spans="1:2" s="73" customFormat="1">
      <c r="A50" s="330" t="s">
        <v>786</v>
      </c>
      <c r="B50" s="72">
        <v>4</v>
      </c>
    </row>
    <row r="51" spans="1:2" s="73" customFormat="1">
      <c r="A51" s="330" t="s">
        <v>1196</v>
      </c>
      <c r="B51" s="72">
        <v>2</v>
      </c>
    </row>
    <row r="52" spans="1:2" s="73" customFormat="1">
      <c r="A52" s="330" t="s">
        <v>1197</v>
      </c>
      <c r="B52" s="72">
        <v>3</v>
      </c>
    </row>
    <row r="53" spans="1:2" s="73" customFormat="1" ht="28.5">
      <c r="A53" s="330" t="s">
        <v>1198</v>
      </c>
      <c r="B53" s="72">
        <v>2</v>
      </c>
    </row>
    <row r="54" spans="1:2" s="73" customFormat="1" ht="28.5">
      <c r="A54" s="332" t="s">
        <v>1202</v>
      </c>
      <c r="B54" s="72">
        <v>2</v>
      </c>
    </row>
    <row r="55" spans="1:2" s="73" customFormat="1">
      <c r="A55" s="332" t="s">
        <v>1203</v>
      </c>
      <c r="B55" s="72"/>
    </row>
    <row r="56" spans="1:2" s="73" customFormat="1">
      <c r="A56" s="332" t="s">
        <v>1204</v>
      </c>
      <c r="B56" s="72">
        <v>2</v>
      </c>
    </row>
    <row r="57" spans="1:2" s="73" customFormat="1" ht="28.5">
      <c r="A57" s="332" t="s">
        <v>1205</v>
      </c>
      <c r="B57" s="72">
        <v>4</v>
      </c>
    </row>
    <row r="58" spans="1:2" s="73" customFormat="1">
      <c r="A58" s="332" t="s">
        <v>1206</v>
      </c>
      <c r="B58" s="72">
        <v>2</v>
      </c>
    </row>
    <row r="59" spans="1:2" s="73" customFormat="1">
      <c r="A59" s="332" t="s">
        <v>1207</v>
      </c>
      <c r="B59" s="72">
        <v>2</v>
      </c>
    </row>
    <row r="60" spans="1:2" s="73" customFormat="1">
      <c r="A60" s="332" t="s">
        <v>1210</v>
      </c>
      <c r="B60" s="72">
        <v>2</v>
      </c>
    </row>
    <row r="61" spans="1:2" s="73" customFormat="1" ht="28.5">
      <c r="A61" s="332" t="s">
        <v>1211</v>
      </c>
      <c r="B61" s="72">
        <v>4</v>
      </c>
    </row>
    <row r="62" spans="1:2" s="73" customFormat="1" ht="17.25" customHeight="1">
      <c r="A62" s="341" t="s">
        <v>1237</v>
      </c>
      <c r="B62" s="72">
        <v>2</v>
      </c>
    </row>
    <row r="63" spans="1:2">
      <c r="A63" s="127" t="s">
        <v>1216</v>
      </c>
      <c r="B63" s="127">
        <v>6</v>
      </c>
    </row>
    <row r="64" spans="1:2">
      <c r="A64" s="127" t="s">
        <v>1221</v>
      </c>
      <c r="B64" s="127">
        <v>2</v>
      </c>
    </row>
    <row r="65" spans="1:2">
      <c r="A65" s="127" t="s">
        <v>1222</v>
      </c>
      <c r="B65" s="127">
        <v>2</v>
      </c>
    </row>
    <row r="66" spans="1:2">
      <c r="A66" s="127" t="s">
        <v>1225</v>
      </c>
      <c r="B66" s="127">
        <v>2</v>
      </c>
    </row>
    <row r="67" spans="1:2">
      <c r="A67" s="127" t="s">
        <v>1226</v>
      </c>
      <c r="B67" s="127"/>
    </row>
    <row r="68" spans="1:2">
      <c r="A68" s="127" t="s">
        <v>1227</v>
      </c>
      <c r="B68" s="127">
        <v>2</v>
      </c>
    </row>
    <row r="69" spans="1:2" ht="30">
      <c r="A69" s="142" t="s">
        <v>1228</v>
      </c>
      <c r="B69" s="127">
        <v>2</v>
      </c>
    </row>
    <row r="70" spans="1:2" ht="30">
      <c r="A70" s="142" t="s">
        <v>1231</v>
      </c>
      <c r="B70" s="127">
        <v>2</v>
      </c>
    </row>
    <row r="71" spans="1:2" s="73" customFormat="1" ht="28.5">
      <c r="A71" s="332" t="s">
        <v>1233</v>
      </c>
      <c r="B71" s="72">
        <v>4</v>
      </c>
    </row>
    <row r="72" spans="1:2" s="75" customFormat="1">
      <c r="A72" s="336" t="s">
        <v>590</v>
      </c>
      <c r="B72" s="76"/>
    </row>
    <row r="73" spans="1:2" s="73" customFormat="1" ht="28.5">
      <c r="A73" s="334" t="s">
        <v>736</v>
      </c>
      <c r="B73" s="72">
        <v>5</v>
      </c>
    </row>
    <row r="74" spans="1:2" s="73" customFormat="1">
      <c r="A74" s="334" t="s">
        <v>735</v>
      </c>
      <c r="B74" s="72">
        <v>1</v>
      </c>
    </row>
    <row r="75" spans="1:2" s="73" customFormat="1">
      <c r="A75" s="334" t="s">
        <v>734</v>
      </c>
      <c r="B75" s="72">
        <v>2</v>
      </c>
    </row>
    <row r="76" spans="1:2" s="73" customFormat="1">
      <c r="A76" s="329" t="s">
        <v>1173</v>
      </c>
      <c r="B76" s="72">
        <v>4.5</v>
      </c>
    </row>
    <row r="77" spans="1:2" s="73" customFormat="1" ht="28.5">
      <c r="A77" s="329" t="s">
        <v>740</v>
      </c>
      <c r="B77" s="72">
        <v>98</v>
      </c>
    </row>
    <row r="78" spans="1:2" s="73" customFormat="1" ht="32.25" customHeight="1">
      <c r="A78" s="329" t="s">
        <v>741</v>
      </c>
      <c r="B78" s="72">
        <v>5</v>
      </c>
    </row>
    <row r="79" spans="1:2" s="73" customFormat="1" ht="28.5">
      <c r="A79" s="329" t="s">
        <v>758</v>
      </c>
      <c r="B79" s="72">
        <v>3</v>
      </c>
    </row>
    <row r="80" spans="1:2" s="73" customFormat="1">
      <c r="A80" s="329" t="s">
        <v>759</v>
      </c>
      <c r="B80" s="72">
        <v>3</v>
      </c>
    </row>
    <row r="81" spans="1:2" s="73" customFormat="1" ht="24" customHeight="1">
      <c r="A81" s="267" t="s">
        <v>760</v>
      </c>
      <c r="B81" s="72">
        <v>6</v>
      </c>
    </row>
    <row r="82" spans="1:2" s="73" customFormat="1" ht="42.75">
      <c r="A82" s="267" t="s">
        <v>770</v>
      </c>
      <c r="B82" s="72">
        <v>3</v>
      </c>
    </row>
    <row r="83" spans="1:2" s="73" customFormat="1">
      <c r="A83" s="267" t="s">
        <v>1177</v>
      </c>
      <c r="B83" s="72">
        <v>3</v>
      </c>
    </row>
    <row r="84" spans="1:2" s="73" customFormat="1">
      <c r="A84" s="267" t="s">
        <v>769</v>
      </c>
      <c r="B84" s="72">
        <v>3</v>
      </c>
    </row>
    <row r="85" spans="1:2" s="73" customFormat="1" ht="36.75" customHeight="1">
      <c r="A85" s="267" t="s">
        <v>768</v>
      </c>
      <c r="B85" s="72">
        <v>4</v>
      </c>
    </row>
    <row r="86" spans="1:2" s="73" customFormat="1" ht="28.5">
      <c r="A86" s="267" t="s">
        <v>1179</v>
      </c>
      <c r="B86" s="72">
        <v>1</v>
      </c>
    </row>
    <row r="87" spans="1:2" s="73" customFormat="1" ht="39" customHeight="1">
      <c r="A87" s="267" t="s">
        <v>771</v>
      </c>
      <c r="B87" s="72">
        <v>3</v>
      </c>
    </row>
    <row r="88" spans="1:2" s="73" customFormat="1" ht="31.5" customHeight="1">
      <c r="A88" s="267" t="s">
        <v>763</v>
      </c>
      <c r="B88" s="72">
        <v>1</v>
      </c>
    </row>
    <row r="89" spans="1:2" s="73" customFormat="1" ht="24.75" customHeight="1">
      <c r="A89" s="267" t="s">
        <v>780</v>
      </c>
      <c r="B89" s="72">
        <v>2</v>
      </c>
    </row>
    <row r="90" spans="1:2" s="73" customFormat="1">
      <c r="A90" s="267" t="s">
        <v>779</v>
      </c>
      <c r="B90" s="72">
        <v>5</v>
      </c>
    </row>
    <row r="91" spans="1:2" s="73" customFormat="1">
      <c r="A91" s="267" t="s">
        <v>785</v>
      </c>
      <c r="B91" s="72">
        <v>4</v>
      </c>
    </row>
    <row r="92" spans="1:2" s="73" customFormat="1" ht="28.5">
      <c r="A92" s="267" t="s">
        <v>784</v>
      </c>
      <c r="B92" s="72">
        <v>1.5</v>
      </c>
    </row>
    <row r="93" spans="1:2" s="73" customFormat="1" ht="28.5">
      <c r="A93" s="267" t="s">
        <v>1182</v>
      </c>
      <c r="B93" s="72">
        <v>12</v>
      </c>
    </row>
    <row r="94" spans="1:2" s="73" customFormat="1">
      <c r="A94" s="267" t="s">
        <v>1183</v>
      </c>
      <c r="B94" s="72">
        <v>6</v>
      </c>
    </row>
    <row r="95" spans="1:2" s="73" customFormat="1" ht="28.5">
      <c r="A95" s="267" t="s">
        <v>1190</v>
      </c>
      <c r="B95" s="72">
        <v>3</v>
      </c>
    </row>
    <row r="96" spans="1:2" s="73" customFormat="1" ht="28.5">
      <c r="A96" s="267" t="s">
        <v>1191</v>
      </c>
      <c r="B96" s="72">
        <v>6</v>
      </c>
    </row>
    <row r="97" spans="1:2" s="73" customFormat="1" ht="28.5">
      <c r="A97" s="267" t="s">
        <v>1192</v>
      </c>
      <c r="B97" s="72">
        <v>8</v>
      </c>
    </row>
    <row r="98" spans="1:2" s="73" customFormat="1" ht="28.5">
      <c r="A98" s="267" t="s">
        <v>1194</v>
      </c>
      <c r="B98" s="72">
        <v>8</v>
      </c>
    </row>
    <row r="99" spans="1:2" s="73" customFormat="1" ht="28.5">
      <c r="A99" s="267" t="s">
        <v>1200</v>
      </c>
      <c r="B99" s="72">
        <v>1</v>
      </c>
    </row>
    <row r="100" spans="1:2" s="73" customFormat="1">
      <c r="A100" s="267" t="s">
        <v>1208</v>
      </c>
      <c r="B100" s="72">
        <v>1</v>
      </c>
    </row>
    <row r="101" spans="1:2" s="73" customFormat="1" ht="28.5">
      <c r="A101" s="267" t="s">
        <v>1218</v>
      </c>
      <c r="B101" s="72">
        <v>4</v>
      </c>
    </row>
    <row r="102" spans="1:2" s="73" customFormat="1">
      <c r="A102" s="267" t="s">
        <v>1230</v>
      </c>
      <c r="B102" s="72">
        <v>1</v>
      </c>
    </row>
    <row r="103" spans="1:2" s="73" customFormat="1" ht="15.75" thickBot="1">
      <c r="A103" s="267"/>
      <c r="B103" s="72"/>
    </row>
    <row r="104" spans="1:2" s="75" customFormat="1" ht="15.75" customHeight="1">
      <c r="A104" s="343" t="s">
        <v>102</v>
      </c>
      <c r="B104" s="76"/>
    </row>
    <row r="105" spans="1:2" s="73" customFormat="1">
      <c r="A105" s="330" t="s">
        <v>1172</v>
      </c>
      <c r="B105" s="72">
        <v>1.5</v>
      </c>
    </row>
    <row r="106" spans="1:2" s="73" customFormat="1">
      <c r="A106" s="330" t="s">
        <v>737</v>
      </c>
      <c r="B106" s="72">
        <v>1.5</v>
      </c>
    </row>
    <row r="107" spans="1:2" s="73" customFormat="1">
      <c r="A107" s="328" t="s">
        <v>742</v>
      </c>
      <c r="B107" s="72">
        <v>1.5</v>
      </c>
    </row>
    <row r="108" spans="1:2" s="73" customFormat="1">
      <c r="A108" s="328" t="s">
        <v>743</v>
      </c>
      <c r="B108" s="72">
        <v>1.5</v>
      </c>
    </row>
    <row r="109" spans="1:2" s="73" customFormat="1" ht="18.75" customHeight="1">
      <c r="A109" s="330" t="s">
        <v>761</v>
      </c>
      <c r="B109" s="72">
        <v>1.5</v>
      </c>
    </row>
    <row r="110" spans="1:2" s="73" customFormat="1" ht="30" customHeight="1">
      <c r="A110" s="330" t="s">
        <v>774</v>
      </c>
      <c r="B110" s="72">
        <v>1</v>
      </c>
    </row>
    <row r="111" spans="1:2" s="73" customFormat="1" ht="27.75" customHeight="1">
      <c r="A111" s="330" t="s">
        <v>773</v>
      </c>
      <c r="B111" s="72">
        <v>1</v>
      </c>
    </row>
    <row r="112" spans="1:2" s="73" customFormat="1" ht="18.75" customHeight="1">
      <c r="A112" s="328" t="s">
        <v>772</v>
      </c>
      <c r="B112" s="72">
        <v>1.5</v>
      </c>
    </row>
    <row r="113" spans="1:2" s="73" customFormat="1" ht="35.25" customHeight="1">
      <c r="A113" s="330" t="s">
        <v>781</v>
      </c>
      <c r="B113" s="72">
        <v>1.5</v>
      </c>
    </row>
    <row r="114" spans="1:2" s="73" customFormat="1" ht="18.75" customHeight="1">
      <c r="A114" s="146" t="s">
        <v>782</v>
      </c>
      <c r="B114" s="123">
        <v>1.5</v>
      </c>
    </row>
    <row r="115" spans="1:2" s="73" customFormat="1" ht="18.75" customHeight="1">
      <c r="A115" s="330" t="s">
        <v>1181</v>
      </c>
      <c r="B115" s="72">
        <v>1</v>
      </c>
    </row>
    <row r="116" spans="1:2" s="73" customFormat="1" ht="18.75" customHeight="1">
      <c r="A116" s="330" t="s">
        <v>1186</v>
      </c>
      <c r="B116" s="72">
        <v>1</v>
      </c>
    </row>
    <row r="117" spans="1:2" s="73" customFormat="1" ht="29.25" customHeight="1">
      <c r="A117" s="330" t="s">
        <v>1187</v>
      </c>
      <c r="B117" s="72">
        <v>1.5</v>
      </c>
    </row>
    <row r="118" spans="1:2" s="73" customFormat="1" ht="18" customHeight="1">
      <c r="A118" s="330" t="s">
        <v>1189</v>
      </c>
      <c r="B118" s="72">
        <v>1.5</v>
      </c>
    </row>
    <row r="119" spans="1:2" s="73" customFormat="1" ht="28.5" customHeight="1">
      <c r="A119" s="330" t="s">
        <v>1193</v>
      </c>
      <c r="B119" s="72">
        <v>1</v>
      </c>
    </row>
    <row r="120" spans="1:2" s="73" customFormat="1" ht="29.25" customHeight="1">
      <c r="A120" s="330" t="s">
        <v>1195</v>
      </c>
      <c r="B120" s="72">
        <v>1</v>
      </c>
    </row>
    <row r="121" spans="1:2" s="73" customFormat="1" ht="29.25" customHeight="1">
      <c r="A121" s="330" t="s">
        <v>1201</v>
      </c>
      <c r="B121" s="72">
        <v>1</v>
      </c>
    </row>
    <row r="122" spans="1:2" s="73" customFormat="1" ht="29.25" customHeight="1">
      <c r="A122" s="332" t="s">
        <v>1215</v>
      </c>
      <c r="B122" s="72">
        <v>1</v>
      </c>
    </row>
    <row r="123" spans="1:2" s="73" customFormat="1" ht="29.25" customHeight="1">
      <c r="A123" s="332" t="s">
        <v>1214</v>
      </c>
      <c r="B123" s="72">
        <v>1</v>
      </c>
    </row>
    <row r="124" spans="1:2" s="73" customFormat="1" ht="29.25" customHeight="1">
      <c r="A124" s="332" t="s">
        <v>1217</v>
      </c>
      <c r="B124" s="72">
        <v>1</v>
      </c>
    </row>
    <row r="125" spans="1:2" s="73" customFormat="1" ht="29.25" customHeight="1">
      <c r="A125" s="332" t="s">
        <v>1223</v>
      </c>
      <c r="B125" s="72">
        <v>1</v>
      </c>
    </row>
    <row r="126" spans="1:2" s="73" customFormat="1" ht="29.25" customHeight="1">
      <c r="A126" s="332" t="s">
        <v>1224</v>
      </c>
      <c r="B126" s="72">
        <v>1.5</v>
      </c>
    </row>
    <row r="127" spans="1:2" s="73" customFormat="1" ht="29.25" customHeight="1">
      <c r="A127" s="332" t="s">
        <v>1229</v>
      </c>
      <c r="B127" s="72">
        <v>1</v>
      </c>
    </row>
    <row r="128" spans="1:2" s="73" customFormat="1" ht="29.25" customHeight="1">
      <c r="A128" s="332" t="s">
        <v>1232</v>
      </c>
      <c r="B128" s="72">
        <v>1</v>
      </c>
    </row>
    <row r="129" spans="1:251" s="73" customFormat="1" ht="15.75" thickBot="1">
      <c r="A129" s="342" t="s">
        <v>522</v>
      </c>
      <c r="B129" s="129">
        <f>SUM(B9:B128)</f>
        <v>430.5</v>
      </c>
    </row>
    <row r="130" spans="1:251">
      <c r="A130" s="78"/>
      <c r="B130" s="75"/>
    </row>
    <row r="131" spans="1:251" s="179" customFormat="1" ht="40.5" customHeight="1">
      <c r="A131" s="434" t="s">
        <v>1568</v>
      </c>
      <c r="IQ131"/>
    </row>
    <row r="132" spans="1:251" s="179" customFormat="1" ht="46.5" customHeight="1">
      <c r="A132" s="293" t="s">
        <v>654</v>
      </c>
      <c r="B132" s="322" t="s">
        <v>1132</v>
      </c>
      <c r="C132" s="221" t="s">
        <v>1134</v>
      </c>
      <c r="IQ132"/>
    </row>
    <row r="133" spans="1:251">
      <c r="A133" s="291" t="s">
        <v>593</v>
      </c>
      <c r="B133" s="323">
        <v>935.9</v>
      </c>
      <c r="C133" s="181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  <c r="BI133" s="179"/>
      <c r="BJ133" s="179"/>
      <c r="BK133" s="179"/>
      <c r="BL133" s="179"/>
      <c r="BM133" s="179"/>
      <c r="BN133" s="179"/>
      <c r="BO133" s="179"/>
      <c r="BP133" s="179"/>
      <c r="BQ133" s="179"/>
      <c r="BR133" s="179"/>
      <c r="BS133" s="179"/>
      <c r="BT133" s="179"/>
      <c r="BU133" s="179"/>
      <c r="BV133" s="179"/>
      <c r="BW133" s="179"/>
      <c r="BX133" s="179"/>
      <c r="BY133" s="179"/>
      <c r="BZ133" s="179"/>
      <c r="CA133" s="179"/>
      <c r="CB133" s="179"/>
      <c r="CC133" s="179"/>
      <c r="CD133" s="179"/>
      <c r="CE133" s="179"/>
      <c r="CF133" s="179"/>
      <c r="CG133" s="179"/>
      <c r="CH133" s="179"/>
      <c r="CI133" s="179"/>
      <c r="CJ133" s="179"/>
      <c r="CK133" s="179"/>
      <c r="CL133" s="179"/>
      <c r="CM133" s="179"/>
      <c r="CN133" s="179"/>
      <c r="CO133" s="179"/>
      <c r="CP133" s="179"/>
      <c r="CQ133" s="179"/>
      <c r="CR133" s="179"/>
      <c r="CS133" s="179"/>
      <c r="CT133" s="179"/>
      <c r="CU133" s="179"/>
      <c r="CV133" s="179"/>
      <c r="CW133" s="179"/>
      <c r="CX133" s="179"/>
      <c r="CY133" s="179"/>
      <c r="CZ133" s="179"/>
      <c r="DA133" s="179"/>
      <c r="DB133" s="179"/>
      <c r="DC133" s="179"/>
      <c r="DD133" s="179"/>
      <c r="DE133" s="179"/>
      <c r="DF133" s="179"/>
      <c r="DG133" s="179"/>
      <c r="DH133" s="179"/>
      <c r="DI133" s="179"/>
      <c r="DJ133" s="179"/>
      <c r="DK133" s="179"/>
      <c r="DL133" s="179"/>
      <c r="DM133" s="179"/>
      <c r="DN133" s="179"/>
      <c r="DO133" s="179"/>
      <c r="DP133" s="179"/>
      <c r="DQ133" s="179"/>
      <c r="DR133" s="179"/>
      <c r="DS133" s="179"/>
      <c r="DT133" s="179"/>
      <c r="DU133" s="179"/>
      <c r="DV133" s="179"/>
      <c r="DW133" s="179"/>
      <c r="DX133" s="179"/>
      <c r="DY133" s="179"/>
      <c r="DZ133" s="179"/>
      <c r="EA133" s="179"/>
      <c r="EB133" s="179"/>
      <c r="EC133" s="179"/>
      <c r="ED133" s="179"/>
      <c r="EE133" s="179"/>
      <c r="EF133" s="179"/>
      <c r="EG133" s="179"/>
      <c r="EH133" s="179"/>
      <c r="EI133" s="179"/>
      <c r="EJ133" s="179"/>
      <c r="EK133" s="179"/>
      <c r="EL133" s="179"/>
      <c r="EM133" s="179"/>
      <c r="EN133" s="179"/>
      <c r="EO133" s="179"/>
      <c r="EP133" s="179"/>
      <c r="EQ133" s="179"/>
      <c r="ER133" s="179"/>
      <c r="ES133" s="179"/>
      <c r="ET133" s="179"/>
      <c r="EU133" s="179"/>
      <c r="EV133" s="179"/>
      <c r="EW133" s="179"/>
      <c r="EX133" s="179"/>
      <c r="EY133" s="179"/>
      <c r="EZ133" s="179"/>
      <c r="FA133" s="179"/>
      <c r="FB133" s="179"/>
      <c r="FC133" s="179"/>
      <c r="FD133" s="179"/>
      <c r="FE133" s="179"/>
      <c r="FF133" s="179"/>
      <c r="FG133" s="179"/>
      <c r="FH133" s="179"/>
      <c r="FI133" s="179"/>
      <c r="FJ133" s="179"/>
      <c r="FK133" s="179"/>
      <c r="FL133" s="179"/>
      <c r="FM133" s="179"/>
      <c r="FN133" s="179"/>
      <c r="FO133" s="179"/>
      <c r="FP133" s="179"/>
      <c r="FQ133" s="179"/>
      <c r="FR133" s="179"/>
      <c r="FS133" s="179"/>
      <c r="FT133" s="179"/>
      <c r="FU133" s="179"/>
      <c r="FV133" s="179"/>
      <c r="FW133" s="179"/>
      <c r="FX133" s="179"/>
      <c r="FY133" s="179"/>
      <c r="FZ133" s="179"/>
      <c r="GA133" s="179"/>
      <c r="GB133" s="179"/>
      <c r="GC133" s="179"/>
      <c r="GD133" s="179"/>
      <c r="GE133" s="179"/>
      <c r="GF133" s="179"/>
      <c r="GG133" s="179"/>
      <c r="GH133" s="179"/>
      <c r="GI133" s="179"/>
      <c r="GJ133" s="179"/>
      <c r="GK133" s="179"/>
      <c r="GL133" s="179"/>
      <c r="GM133" s="179"/>
      <c r="GN133" s="179"/>
      <c r="GO133" s="179"/>
      <c r="GP133" s="179"/>
      <c r="GQ133" s="179"/>
      <c r="GR133" s="179"/>
      <c r="GS133" s="179"/>
      <c r="GT133" s="179"/>
      <c r="GU133" s="179"/>
      <c r="GV133" s="179"/>
      <c r="GW133" s="179"/>
      <c r="GX133" s="179"/>
      <c r="GY133" s="179"/>
      <c r="GZ133" s="179"/>
      <c r="HA133" s="179"/>
      <c r="HB133" s="179"/>
      <c r="HC133" s="179"/>
      <c r="HD133" s="179"/>
      <c r="HE133" s="179"/>
      <c r="HF133" s="179"/>
      <c r="HG133" s="179"/>
      <c r="HH133" s="179"/>
      <c r="HI133" s="179"/>
      <c r="HJ133" s="179"/>
      <c r="HK133" s="179"/>
      <c r="HL133" s="179"/>
      <c r="HM133" s="179"/>
      <c r="HN133" s="179"/>
      <c r="HO133" s="179"/>
      <c r="HP133" s="179"/>
      <c r="HQ133" s="179"/>
      <c r="HR133" s="179"/>
      <c r="HS133" s="179"/>
      <c r="HT133" s="179"/>
      <c r="HU133" s="179"/>
      <c r="HV133" s="179"/>
      <c r="HW133" s="179"/>
      <c r="HX133" s="179"/>
      <c r="HY133" s="179"/>
      <c r="HZ133" s="179"/>
      <c r="IA133" s="179"/>
      <c r="IB133" s="179"/>
      <c r="IC133" s="179"/>
      <c r="ID133" s="179"/>
      <c r="IE133" s="179"/>
      <c r="IF133" s="179"/>
      <c r="IG133" s="179"/>
      <c r="IH133" s="179"/>
      <c r="II133" s="179"/>
      <c r="IJ133" s="179"/>
      <c r="IK133" s="179"/>
      <c r="IL133" s="179"/>
      <c r="IM133" s="179"/>
      <c r="IN133" s="179"/>
      <c r="IO133" s="179"/>
      <c r="IP133" s="179"/>
    </row>
    <row r="134" spans="1:251">
      <c r="A134" s="180" t="s">
        <v>594</v>
      </c>
      <c r="B134" s="324">
        <v>17.829999999999998</v>
      </c>
      <c r="C134" s="181">
        <f>C145+C146+C147+C148+C149+C151+C154</f>
        <v>16.810000000000002</v>
      </c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79"/>
      <c r="BJ134" s="179"/>
      <c r="BK134" s="179"/>
      <c r="BL134" s="179"/>
      <c r="BM134" s="179"/>
      <c r="BN134" s="179"/>
      <c r="BO134" s="179"/>
      <c r="BP134" s="179"/>
      <c r="BQ134" s="179"/>
      <c r="BR134" s="179"/>
      <c r="BS134" s="179"/>
      <c r="BT134" s="179"/>
      <c r="BU134" s="179"/>
      <c r="BV134" s="179"/>
      <c r="BW134" s="179"/>
      <c r="BX134" s="179"/>
      <c r="BY134" s="179"/>
      <c r="BZ134" s="179"/>
      <c r="CA134" s="179"/>
      <c r="CB134" s="179"/>
      <c r="CC134" s="179"/>
      <c r="CD134" s="179"/>
      <c r="CE134" s="179"/>
      <c r="CF134" s="179"/>
      <c r="CG134" s="179"/>
      <c r="CH134" s="179"/>
      <c r="CI134" s="179"/>
      <c r="CJ134" s="179"/>
      <c r="CK134" s="179"/>
      <c r="CL134" s="179"/>
      <c r="CM134" s="179"/>
      <c r="CN134" s="179"/>
      <c r="CO134" s="179"/>
      <c r="CP134" s="179"/>
      <c r="CQ134" s="179"/>
      <c r="CR134" s="179"/>
      <c r="CS134" s="179"/>
      <c r="CT134" s="179"/>
      <c r="CU134" s="179"/>
      <c r="CV134" s="179"/>
      <c r="CW134" s="179"/>
      <c r="CX134" s="179"/>
      <c r="CY134" s="179"/>
      <c r="CZ134" s="179"/>
      <c r="DA134" s="179"/>
      <c r="DB134" s="179"/>
      <c r="DC134" s="179"/>
      <c r="DD134" s="179"/>
      <c r="DE134" s="179"/>
      <c r="DF134" s="179"/>
      <c r="DG134" s="179"/>
      <c r="DH134" s="179"/>
      <c r="DI134" s="179"/>
      <c r="DJ134" s="179"/>
      <c r="DK134" s="179"/>
      <c r="DL134" s="179"/>
      <c r="DM134" s="179"/>
      <c r="DN134" s="179"/>
      <c r="DO134" s="179"/>
      <c r="DP134" s="179"/>
      <c r="DQ134" s="179"/>
      <c r="DR134" s="179"/>
      <c r="DS134" s="179"/>
      <c r="DT134" s="179"/>
      <c r="DU134" s="179"/>
      <c r="DV134" s="179"/>
      <c r="DW134" s="179"/>
      <c r="DX134" s="179"/>
      <c r="DY134" s="179"/>
      <c r="DZ134" s="179"/>
      <c r="EA134" s="179"/>
      <c r="EB134" s="179"/>
      <c r="EC134" s="179"/>
      <c r="ED134" s="179"/>
      <c r="EE134" s="179"/>
      <c r="EF134" s="179"/>
      <c r="EG134" s="179"/>
      <c r="EH134" s="179"/>
      <c r="EI134" s="179"/>
      <c r="EJ134" s="179"/>
      <c r="EK134" s="179"/>
      <c r="EL134" s="179"/>
      <c r="EM134" s="179"/>
      <c r="EN134" s="179"/>
      <c r="EO134" s="179"/>
      <c r="EP134" s="179"/>
      <c r="EQ134" s="179"/>
      <c r="ER134" s="179"/>
      <c r="ES134" s="179"/>
      <c r="ET134" s="179"/>
      <c r="EU134" s="179"/>
      <c r="EV134" s="179"/>
      <c r="EW134" s="179"/>
      <c r="EX134" s="179"/>
      <c r="EY134" s="179"/>
      <c r="EZ134" s="179"/>
      <c r="FA134" s="179"/>
      <c r="FB134" s="179"/>
      <c r="FC134" s="179"/>
      <c r="FD134" s="179"/>
      <c r="FE134" s="179"/>
      <c r="FF134" s="179"/>
      <c r="FG134" s="179"/>
      <c r="FH134" s="179"/>
      <c r="FI134" s="179"/>
      <c r="FJ134" s="179"/>
      <c r="FK134" s="179"/>
      <c r="FL134" s="179"/>
      <c r="FM134" s="179"/>
      <c r="FN134" s="179"/>
      <c r="FO134" s="179"/>
      <c r="FP134" s="179"/>
      <c r="FQ134" s="179"/>
      <c r="FR134" s="179"/>
      <c r="FS134" s="179"/>
      <c r="FT134" s="179"/>
      <c r="FU134" s="179"/>
      <c r="FV134" s="179"/>
      <c r="FW134" s="179"/>
      <c r="FX134" s="179"/>
      <c r="FY134" s="179"/>
      <c r="FZ134" s="179"/>
      <c r="GA134" s="179"/>
      <c r="GB134" s="179"/>
      <c r="GC134" s="179"/>
      <c r="GD134" s="179"/>
      <c r="GE134" s="179"/>
      <c r="GF134" s="179"/>
      <c r="GG134" s="179"/>
      <c r="GH134" s="179"/>
      <c r="GI134" s="179"/>
      <c r="GJ134" s="179"/>
      <c r="GK134" s="179"/>
      <c r="GL134" s="179"/>
      <c r="GM134" s="179"/>
      <c r="GN134" s="179"/>
      <c r="GO134" s="179"/>
      <c r="GP134" s="179"/>
      <c r="GQ134" s="179"/>
      <c r="GR134" s="179"/>
      <c r="GS134" s="179"/>
      <c r="GT134" s="179"/>
      <c r="GU134" s="179"/>
      <c r="GV134" s="179"/>
      <c r="GW134" s="179"/>
      <c r="GX134" s="179"/>
      <c r="GY134" s="179"/>
      <c r="GZ134" s="179"/>
      <c r="HA134" s="179"/>
      <c r="HB134" s="179"/>
      <c r="HC134" s="179"/>
      <c r="HD134" s="179"/>
      <c r="HE134" s="179"/>
      <c r="HF134" s="179"/>
      <c r="HG134" s="179"/>
      <c r="HH134" s="179"/>
      <c r="HI134" s="179"/>
      <c r="HJ134" s="179"/>
      <c r="HK134" s="179"/>
      <c r="HL134" s="179"/>
      <c r="HM134" s="179"/>
      <c r="HN134" s="179"/>
      <c r="HO134" s="179"/>
      <c r="HP134" s="179"/>
      <c r="HQ134" s="179"/>
      <c r="HR134" s="179"/>
      <c r="HS134" s="179"/>
      <c r="HT134" s="179"/>
      <c r="HU134" s="179"/>
      <c r="HV134" s="179"/>
      <c r="HW134" s="179"/>
      <c r="HX134" s="179"/>
      <c r="HY134" s="179"/>
      <c r="HZ134" s="179"/>
      <c r="IA134" s="179"/>
      <c r="IB134" s="179"/>
      <c r="IC134" s="179"/>
      <c r="ID134" s="179"/>
      <c r="IE134" s="179"/>
      <c r="IF134" s="179"/>
      <c r="IG134" s="179"/>
      <c r="IH134" s="179"/>
      <c r="II134" s="179"/>
      <c r="IJ134" s="179"/>
      <c r="IK134" s="179"/>
      <c r="IL134" s="179"/>
      <c r="IM134" s="179"/>
      <c r="IN134" s="179"/>
      <c r="IO134" s="179"/>
      <c r="IP134" s="179"/>
    </row>
    <row r="135" spans="1:251" s="73" customFormat="1">
      <c r="A135" s="193" t="s">
        <v>711</v>
      </c>
      <c r="B135" s="325">
        <v>32394.71</v>
      </c>
      <c r="C135" s="193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0"/>
      <c r="AP135" s="230"/>
      <c r="AQ135" s="230"/>
      <c r="AR135" s="230"/>
      <c r="AS135" s="230"/>
      <c r="AT135" s="230"/>
      <c r="AU135" s="230"/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  <c r="BQ135" s="230"/>
      <c r="BR135" s="230"/>
      <c r="BS135" s="230"/>
      <c r="BT135" s="230"/>
      <c r="BU135" s="230"/>
      <c r="BV135" s="230"/>
      <c r="BW135" s="230"/>
      <c r="BX135" s="230"/>
      <c r="BY135" s="230"/>
      <c r="BZ135" s="230"/>
      <c r="CA135" s="230"/>
      <c r="CB135" s="230"/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  <c r="CM135" s="230"/>
      <c r="CN135" s="230"/>
      <c r="CO135" s="230"/>
      <c r="CP135" s="230"/>
      <c r="CQ135" s="230"/>
      <c r="CR135" s="230"/>
      <c r="CS135" s="230"/>
      <c r="CT135" s="230"/>
      <c r="CU135" s="230"/>
      <c r="CV135" s="230"/>
      <c r="CW135" s="230"/>
      <c r="CX135" s="230"/>
      <c r="CY135" s="230"/>
      <c r="CZ135" s="230"/>
      <c r="DA135" s="230"/>
      <c r="DB135" s="230"/>
      <c r="DC135" s="230"/>
      <c r="DD135" s="230"/>
      <c r="DE135" s="230"/>
      <c r="DF135" s="230"/>
      <c r="DG135" s="230"/>
      <c r="DH135" s="230"/>
      <c r="DI135" s="230"/>
      <c r="DJ135" s="230"/>
      <c r="DK135" s="230"/>
      <c r="DL135" s="230"/>
      <c r="DM135" s="230"/>
      <c r="DN135" s="230"/>
      <c r="DO135" s="230"/>
      <c r="DP135" s="230"/>
      <c r="DQ135" s="230"/>
      <c r="DR135" s="230"/>
      <c r="DS135" s="230"/>
      <c r="DT135" s="230"/>
      <c r="DU135" s="230"/>
      <c r="DV135" s="230"/>
      <c r="DW135" s="230"/>
      <c r="DX135" s="230"/>
      <c r="DY135" s="230"/>
      <c r="DZ135" s="230"/>
      <c r="EA135" s="230"/>
      <c r="EB135" s="230"/>
      <c r="EC135" s="230"/>
      <c r="ED135" s="230"/>
      <c r="EE135" s="230"/>
      <c r="EF135" s="230"/>
      <c r="EG135" s="230"/>
      <c r="EH135" s="230"/>
      <c r="EI135" s="230"/>
      <c r="EJ135" s="230"/>
      <c r="EK135" s="230"/>
      <c r="EL135" s="230"/>
      <c r="EM135" s="230"/>
      <c r="EN135" s="230"/>
      <c r="EO135" s="230"/>
      <c r="EP135" s="230"/>
      <c r="EQ135" s="230"/>
      <c r="ER135" s="230"/>
      <c r="ES135" s="230"/>
      <c r="ET135" s="230"/>
      <c r="EU135" s="230"/>
      <c r="EV135" s="230"/>
      <c r="EW135" s="230"/>
      <c r="EX135" s="230"/>
      <c r="EY135" s="230"/>
      <c r="EZ135" s="230"/>
      <c r="FA135" s="230"/>
      <c r="FB135" s="230"/>
      <c r="FC135" s="230"/>
      <c r="FD135" s="230"/>
      <c r="FE135" s="230"/>
      <c r="FF135" s="230"/>
      <c r="FG135" s="230"/>
      <c r="FH135" s="230"/>
      <c r="FI135" s="230"/>
      <c r="FJ135" s="230"/>
      <c r="FK135" s="230"/>
      <c r="FL135" s="230"/>
      <c r="FM135" s="230"/>
      <c r="FN135" s="230"/>
      <c r="FO135" s="230"/>
      <c r="FP135" s="230"/>
      <c r="FQ135" s="230"/>
      <c r="FR135" s="230"/>
      <c r="FS135" s="230"/>
      <c r="FT135" s="230"/>
      <c r="FU135" s="230"/>
      <c r="FV135" s="230"/>
      <c r="FW135" s="230"/>
      <c r="FX135" s="230"/>
      <c r="FY135" s="230"/>
      <c r="FZ135" s="230"/>
      <c r="GA135" s="230"/>
      <c r="GB135" s="230"/>
      <c r="GC135" s="230"/>
      <c r="GD135" s="230"/>
      <c r="GE135" s="230"/>
      <c r="GF135" s="230"/>
      <c r="GG135" s="230"/>
      <c r="GH135" s="230"/>
      <c r="GI135" s="230"/>
      <c r="GJ135" s="230"/>
      <c r="GK135" s="230"/>
      <c r="GL135" s="230"/>
      <c r="GM135" s="230"/>
      <c r="GN135" s="230"/>
      <c r="GO135" s="230"/>
      <c r="GP135" s="230"/>
      <c r="GQ135" s="230"/>
      <c r="GR135" s="230"/>
      <c r="GS135" s="230"/>
      <c r="GT135" s="230"/>
      <c r="GU135" s="230"/>
      <c r="GV135" s="230"/>
      <c r="GW135" s="230"/>
      <c r="GX135" s="230"/>
      <c r="GY135" s="230"/>
      <c r="GZ135" s="230"/>
      <c r="HA135" s="230"/>
      <c r="HB135" s="230"/>
      <c r="HC135" s="230"/>
      <c r="HD135" s="230"/>
      <c r="HE135" s="230"/>
      <c r="HF135" s="230"/>
      <c r="HG135" s="230"/>
      <c r="HH135" s="230"/>
      <c r="HI135" s="230"/>
      <c r="HJ135" s="230"/>
      <c r="HK135" s="230"/>
      <c r="HL135" s="230"/>
      <c r="HM135" s="230"/>
      <c r="HN135" s="230"/>
      <c r="HO135" s="230"/>
      <c r="HP135" s="230"/>
      <c r="HQ135" s="230"/>
      <c r="HR135" s="230"/>
      <c r="HS135" s="230"/>
      <c r="HT135" s="230"/>
      <c r="HU135" s="230"/>
      <c r="HV135" s="230"/>
      <c r="HW135" s="230"/>
      <c r="HX135" s="230"/>
      <c r="HY135" s="230"/>
      <c r="HZ135" s="230"/>
      <c r="IA135" s="230"/>
      <c r="IB135" s="230"/>
      <c r="IC135" s="230"/>
      <c r="ID135" s="230"/>
      <c r="IE135" s="230"/>
      <c r="IF135" s="230"/>
      <c r="IG135" s="230"/>
      <c r="IH135" s="230"/>
      <c r="II135" s="230"/>
      <c r="IJ135" s="230"/>
      <c r="IK135" s="230"/>
      <c r="IL135" s="230"/>
      <c r="IM135" s="230"/>
      <c r="IN135" s="230"/>
      <c r="IO135" s="230"/>
      <c r="IP135" s="230"/>
    </row>
    <row r="136" spans="1:251">
      <c r="A136" s="193" t="s">
        <v>1123</v>
      </c>
      <c r="B136" s="325">
        <v>200245.2</v>
      </c>
      <c r="C136" s="193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  <c r="BI136" s="179"/>
      <c r="BJ136" s="179"/>
      <c r="BK136" s="179"/>
      <c r="BL136" s="179"/>
      <c r="BM136" s="179"/>
      <c r="BN136" s="179"/>
      <c r="BO136" s="179"/>
      <c r="BP136" s="179"/>
      <c r="BQ136" s="179"/>
      <c r="BR136" s="179"/>
      <c r="BS136" s="179"/>
      <c r="BT136" s="179"/>
      <c r="BU136" s="179"/>
      <c r="BV136" s="179"/>
      <c r="BW136" s="179"/>
      <c r="BX136" s="179"/>
      <c r="BY136" s="179"/>
      <c r="BZ136" s="179"/>
      <c r="CA136" s="179"/>
      <c r="CB136" s="179"/>
      <c r="CC136" s="179"/>
      <c r="CD136" s="179"/>
      <c r="CE136" s="179"/>
      <c r="CF136" s="179"/>
      <c r="CG136" s="179"/>
      <c r="CH136" s="179"/>
      <c r="CI136" s="179"/>
      <c r="CJ136" s="179"/>
      <c r="CK136" s="179"/>
      <c r="CL136" s="179"/>
      <c r="CM136" s="179"/>
      <c r="CN136" s="179"/>
      <c r="CO136" s="179"/>
      <c r="CP136" s="179"/>
      <c r="CQ136" s="179"/>
      <c r="CR136" s="179"/>
      <c r="CS136" s="179"/>
      <c r="CT136" s="179"/>
      <c r="CU136" s="179"/>
      <c r="CV136" s="179"/>
      <c r="CW136" s="179"/>
      <c r="CX136" s="179"/>
      <c r="CY136" s="179"/>
      <c r="CZ136" s="179"/>
      <c r="DA136" s="179"/>
      <c r="DB136" s="179"/>
      <c r="DC136" s="179"/>
      <c r="DD136" s="179"/>
      <c r="DE136" s="179"/>
      <c r="DF136" s="179"/>
      <c r="DG136" s="179"/>
      <c r="DH136" s="179"/>
      <c r="DI136" s="179"/>
      <c r="DJ136" s="179"/>
      <c r="DK136" s="179"/>
      <c r="DL136" s="179"/>
      <c r="DM136" s="179"/>
      <c r="DN136" s="179"/>
      <c r="DO136" s="179"/>
      <c r="DP136" s="179"/>
      <c r="DQ136" s="179"/>
      <c r="DR136" s="179"/>
      <c r="DS136" s="179"/>
      <c r="DT136" s="179"/>
      <c r="DU136" s="179"/>
      <c r="DV136" s="179"/>
      <c r="DW136" s="179"/>
      <c r="DX136" s="179"/>
      <c r="DY136" s="179"/>
      <c r="DZ136" s="179"/>
      <c r="EA136" s="179"/>
      <c r="EB136" s="179"/>
      <c r="EC136" s="179"/>
      <c r="ED136" s="179"/>
      <c r="EE136" s="179"/>
      <c r="EF136" s="179"/>
      <c r="EG136" s="179"/>
      <c r="EH136" s="179"/>
      <c r="EI136" s="179"/>
      <c r="EJ136" s="179"/>
      <c r="EK136" s="179"/>
      <c r="EL136" s="179"/>
      <c r="EM136" s="179"/>
      <c r="EN136" s="179"/>
      <c r="EO136" s="179"/>
      <c r="EP136" s="179"/>
      <c r="EQ136" s="179"/>
      <c r="ER136" s="179"/>
      <c r="ES136" s="179"/>
      <c r="ET136" s="179"/>
      <c r="EU136" s="179"/>
      <c r="EV136" s="179"/>
      <c r="EW136" s="179"/>
      <c r="EX136" s="179"/>
      <c r="EY136" s="179"/>
      <c r="EZ136" s="179"/>
      <c r="FA136" s="179"/>
      <c r="FB136" s="179"/>
      <c r="FC136" s="179"/>
      <c r="FD136" s="179"/>
      <c r="FE136" s="179"/>
      <c r="FF136" s="179"/>
      <c r="FG136" s="179"/>
      <c r="FH136" s="179"/>
      <c r="FI136" s="179"/>
      <c r="FJ136" s="179"/>
      <c r="FK136" s="179"/>
      <c r="FL136" s="179"/>
      <c r="FM136" s="179"/>
      <c r="FN136" s="179"/>
      <c r="FO136" s="179"/>
      <c r="FP136" s="179"/>
      <c r="FQ136" s="179"/>
      <c r="FR136" s="179"/>
      <c r="FS136" s="179"/>
      <c r="FT136" s="179"/>
      <c r="FU136" s="179"/>
      <c r="FV136" s="179"/>
      <c r="FW136" s="179"/>
      <c r="FX136" s="179"/>
      <c r="FY136" s="179"/>
      <c r="FZ136" s="179"/>
      <c r="GA136" s="179"/>
      <c r="GB136" s="179"/>
      <c r="GC136" s="179"/>
      <c r="GD136" s="179"/>
      <c r="GE136" s="179"/>
      <c r="GF136" s="179"/>
      <c r="GG136" s="179"/>
      <c r="GH136" s="179"/>
      <c r="GI136" s="179"/>
      <c r="GJ136" s="179"/>
      <c r="GK136" s="179"/>
      <c r="GL136" s="179"/>
      <c r="GM136" s="179"/>
      <c r="GN136" s="179"/>
      <c r="GO136" s="179"/>
      <c r="GP136" s="179"/>
      <c r="GQ136" s="179"/>
      <c r="GR136" s="179"/>
      <c r="GS136" s="179"/>
      <c r="GT136" s="179"/>
      <c r="GU136" s="179"/>
      <c r="GV136" s="179"/>
      <c r="GW136" s="179"/>
      <c r="GX136" s="179"/>
      <c r="GY136" s="179"/>
      <c r="GZ136" s="179"/>
      <c r="HA136" s="179"/>
      <c r="HB136" s="179"/>
      <c r="HC136" s="179"/>
      <c r="HD136" s="179"/>
      <c r="HE136" s="179"/>
      <c r="HF136" s="179"/>
      <c r="HG136" s="179"/>
      <c r="HH136" s="179"/>
      <c r="HI136" s="179"/>
      <c r="HJ136" s="179"/>
      <c r="HK136" s="179"/>
      <c r="HL136" s="179"/>
      <c r="HM136" s="179"/>
      <c r="HN136" s="179"/>
      <c r="HO136" s="179"/>
      <c r="HP136" s="179"/>
      <c r="HQ136" s="179"/>
      <c r="HR136" s="179"/>
      <c r="HS136" s="179"/>
      <c r="HT136" s="179"/>
      <c r="HU136" s="179"/>
      <c r="HV136" s="179"/>
      <c r="HW136" s="179"/>
      <c r="HX136" s="179"/>
      <c r="HY136" s="179"/>
      <c r="HZ136" s="179"/>
      <c r="IA136" s="179"/>
      <c r="IB136" s="179"/>
      <c r="IC136" s="179"/>
      <c r="ID136" s="179"/>
      <c r="IE136" s="179"/>
      <c r="IF136" s="179"/>
      <c r="IG136" s="179"/>
      <c r="IH136" s="179"/>
      <c r="II136" s="179"/>
      <c r="IJ136" s="179"/>
      <c r="IK136" s="179"/>
      <c r="IL136" s="179"/>
      <c r="IM136" s="179"/>
      <c r="IN136" s="179"/>
      <c r="IO136" s="179"/>
      <c r="IP136" s="179"/>
    </row>
    <row r="137" spans="1:251">
      <c r="A137" s="193" t="s">
        <v>596</v>
      </c>
      <c r="B137" s="325">
        <v>2573.4</v>
      </c>
      <c r="C137" s="193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  <c r="BI137" s="179"/>
      <c r="BJ137" s="179"/>
      <c r="BK137" s="179"/>
      <c r="BL137" s="179"/>
      <c r="BM137" s="179"/>
      <c r="BN137" s="179"/>
      <c r="BO137" s="179"/>
      <c r="BP137" s="179"/>
      <c r="BQ137" s="179"/>
      <c r="BR137" s="179"/>
      <c r="BS137" s="179"/>
      <c r="BT137" s="179"/>
      <c r="BU137" s="179"/>
      <c r="BV137" s="179"/>
      <c r="BW137" s="179"/>
      <c r="BX137" s="179"/>
      <c r="BY137" s="179"/>
      <c r="BZ137" s="179"/>
      <c r="CA137" s="179"/>
      <c r="CB137" s="179"/>
      <c r="CC137" s="179"/>
      <c r="CD137" s="179"/>
      <c r="CE137" s="179"/>
      <c r="CF137" s="179"/>
      <c r="CG137" s="179"/>
      <c r="CH137" s="179"/>
      <c r="CI137" s="179"/>
      <c r="CJ137" s="179"/>
      <c r="CK137" s="179"/>
      <c r="CL137" s="179"/>
      <c r="CM137" s="179"/>
      <c r="CN137" s="179"/>
      <c r="CO137" s="179"/>
      <c r="CP137" s="179"/>
      <c r="CQ137" s="179"/>
      <c r="CR137" s="179"/>
      <c r="CS137" s="179"/>
      <c r="CT137" s="179"/>
      <c r="CU137" s="179"/>
      <c r="CV137" s="179"/>
      <c r="CW137" s="179"/>
      <c r="CX137" s="179"/>
      <c r="CY137" s="179"/>
      <c r="CZ137" s="179"/>
      <c r="DA137" s="179"/>
      <c r="DB137" s="179"/>
      <c r="DC137" s="179"/>
      <c r="DD137" s="179"/>
      <c r="DE137" s="179"/>
      <c r="DF137" s="179"/>
      <c r="DG137" s="179"/>
      <c r="DH137" s="179"/>
      <c r="DI137" s="179"/>
      <c r="DJ137" s="179"/>
      <c r="DK137" s="179"/>
      <c r="DL137" s="179"/>
      <c r="DM137" s="179"/>
      <c r="DN137" s="179"/>
      <c r="DO137" s="179"/>
      <c r="DP137" s="179"/>
      <c r="DQ137" s="179"/>
      <c r="DR137" s="179"/>
      <c r="DS137" s="179"/>
      <c r="DT137" s="179"/>
      <c r="DU137" s="179"/>
      <c r="DV137" s="179"/>
      <c r="DW137" s="179"/>
      <c r="DX137" s="179"/>
      <c r="DY137" s="179"/>
      <c r="DZ137" s="179"/>
      <c r="EA137" s="179"/>
      <c r="EB137" s="179"/>
      <c r="EC137" s="179"/>
      <c r="ED137" s="179"/>
      <c r="EE137" s="179"/>
      <c r="EF137" s="179"/>
      <c r="EG137" s="179"/>
      <c r="EH137" s="179"/>
      <c r="EI137" s="179"/>
      <c r="EJ137" s="179"/>
      <c r="EK137" s="179"/>
      <c r="EL137" s="179"/>
      <c r="EM137" s="179"/>
      <c r="EN137" s="179"/>
      <c r="EO137" s="179"/>
      <c r="EP137" s="179"/>
      <c r="EQ137" s="179"/>
      <c r="ER137" s="179"/>
      <c r="ES137" s="179"/>
      <c r="ET137" s="179"/>
      <c r="EU137" s="179"/>
      <c r="EV137" s="179"/>
      <c r="EW137" s="179"/>
      <c r="EX137" s="179"/>
      <c r="EY137" s="179"/>
      <c r="EZ137" s="179"/>
      <c r="FA137" s="179"/>
      <c r="FB137" s="179"/>
      <c r="FC137" s="179"/>
      <c r="FD137" s="179"/>
      <c r="FE137" s="179"/>
      <c r="FF137" s="179"/>
      <c r="FG137" s="179"/>
      <c r="FH137" s="179"/>
      <c r="FI137" s="179"/>
      <c r="FJ137" s="179"/>
      <c r="FK137" s="179"/>
      <c r="FL137" s="179"/>
      <c r="FM137" s="179"/>
      <c r="FN137" s="179"/>
      <c r="FO137" s="179"/>
      <c r="FP137" s="179"/>
      <c r="FQ137" s="179"/>
      <c r="FR137" s="179"/>
      <c r="FS137" s="179"/>
      <c r="FT137" s="179"/>
      <c r="FU137" s="179"/>
      <c r="FV137" s="179"/>
      <c r="FW137" s="179"/>
      <c r="FX137" s="179"/>
      <c r="FY137" s="179"/>
      <c r="FZ137" s="179"/>
      <c r="GA137" s="179"/>
      <c r="GB137" s="179"/>
      <c r="GC137" s="179"/>
      <c r="GD137" s="179"/>
      <c r="GE137" s="179"/>
      <c r="GF137" s="179"/>
      <c r="GG137" s="179"/>
      <c r="GH137" s="179"/>
      <c r="GI137" s="179"/>
      <c r="GJ137" s="179"/>
      <c r="GK137" s="179"/>
      <c r="GL137" s="179"/>
      <c r="GM137" s="179"/>
      <c r="GN137" s="179"/>
      <c r="GO137" s="179"/>
      <c r="GP137" s="179"/>
      <c r="GQ137" s="179"/>
      <c r="GR137" s="179"/>
      <c r="GS137" s="179"/>
      <c r="GT137" s="179"/>
      <c r="GU137" s="179"/>
      <c r="GV137" s="179"/>
      <c r="GW137" s="179"/>
      <c r="GX137" s="179"/>
      <c r="GY137" s="179"/>
      <c r="GZ137" s="179"/>
      <c r="HA137" s="179"/>
      <c r="HB137" s="179"/>
      <c r="HC137" s="179"/>
      <c r="HD137" s="179"/>
      <c r="HE137" s="179"/>
      <c r="HF137" s="179"/>
      <c r="HG137" s="179"/>
      <c r="HH137" s="179"/>
      <c r="HI137" s="179"/>
      <c r="HJ137" s="179"/>
      <c r="HK137" s="179"/>
      <c r="HL137" s="179"/>
      <c r="HM137" s="179"/>
      <c r="HN137" s="179"/>
      <c r="HO137" s="179"/>
      <c r="HP137" s="179"/>
      <c r="HQ137" s="179"/>
      <c r="HR137" s="179"/>
      <c r="HS137" s="179"/>
      <c r="HT137" s="179"/>
      <c r="HU137" s="179"/>
      <c r="HV137" s="179"/>
      <c r="HW137" s="179"/>
      <c r="HX137" s="179"/>
      <c r="HY137" s="179"/>
      <c r="HZ137" s="179"/>
      <c r="IA137" s="179"/>
      <c r="IB137" s="179"/>
      <c r="IC137" s="179"/>
      <c r="ID137" s="179"/>
      <c r="IE137" s="179"/>
      <c r="IF137" s="179"/>
      <c r="IG137" s="179"/>
      <c r="IH137" s="179"/>
      <c r="II137" s="179"/>
      <c r="IJ137" s="179"/>
      <c r="IK137" s="179"/>
      <c r="IL137" s="179"/>
      <c r="IM137" s="179"/>
      <c r="IN137" s="179"/>
      <c r="IO137" s="179"/>
      <c r="IP137" s="179"/>
    </row>
    <row r="138" spans="1:251">
      <c r="A138" s="193" t="s">
        <v>1126</v>
      </c>
      <c r="B138" s="325">
        <v>4876.0600000000004</v>
      </c>
      <c r="C138" s="193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9"/>
      <c r="BW138" s="179"/>
      <c r="BX138" s="179"/>
      <c r="BY138" s="179"/>
      <c r="BZ138" s="179"/>
      <c r="CA138" s="179"/>
      <c r="CB138" s="179"/>
      <c r="CC138" s="179"/>
      <c r="CD138" s="179"/>
      <c r="CE138" s="179"/>
      <c r="CF138" s="179"/>
      <c r="CG138" s="179"/>
      <c r="CH138" s="179"/>
      <c r="CI138" s="179"/>
      <c r="CJ138" s="179"/>
      <c r="CK138" s="179"/>
      <c r="CL138" s="179"/>
      <c r="CM138" s="179"/>
      <c r="CN138" s="179"/>
      <c r="CO138" s="179"/>
      <c r="CP138" s="179"/>
      <c r="CQ138" s="179"/>
      <c r="CR138" s="179"/>
      <c r="CS138" s="179"/>
      <c r="CT138" s="179"/>
      <c r="CU138" s="179"/>
      <c r="CV138" s="179"/>
      <c r="CW138" s="179"/>
      <c r="CX138" s="179"/>
      <c r="CY138" s="179"/>
      <c r="CZ138" s="179"/>
      <c r="DA138" s="179"/>
      <c r="DB138" s="179"/>
      <c r="DC138" s="179"/>
      <c r="DD138" s="179"/>
      <c r="DE138" s="179"/>
      <c r="DF138" s="179"/>
      <c r="DG138" s="179"/>
      <c r="DH138" s="179"/>
      <c r="DI138" s="179"/>
      <c r="DJ138" s="179"/>
      <c r="DK138" s="179"/>
      <c r="DL138" s="179"/>
      <c r="DM138" s="179"/>
      <c r="DN138" s="179"/>
      <c r="DO138" s="179"/>
      <c r="DP138" s="179"/>
      <c r="DQ138" s="179"/>
      <c r="DR138" s="179"/>
      <c r="DS138" s="179"/>
      <c r="DT138" s="179"/>
      <c r="DU138" s="179"/>
      <c r="DV138" s="179"/>
      <c r="DW138" s="179"/>
      <c r="DX138" s="179"/>
      <c r="DY138" s="179"/>
      <c r="DZ138" s="179"/>
      <c r="EA138" s="179"/>
      <c r="EB138" s="179"/>
      <c r="EC138" s="179"/>
      <c r="ED138" s="179"/>
      <c r="EE138" s="179"/>
      <c r="EF138" s="179"/>
      <c r="EG138" s="179"/>
      <c r="EH138" s="179"/>
      <c r="EI138" s="179"/>
      <c r="EJ138" s="179"/>
      <c r="EK138" s="179"/>
      <c r="EL138" s="179"/>
      <c r="EM138" s="179"/>
      <c r="EN138" s="179"/>
      <c r="EO138" s="179"/>
      <c r="EP138" s="179"/>
      <c r="EQ138" s="179"/>
      <c r="ER138" s="179"/>
      <c r="ES138" s="179"/>
      <c r="ET138" s="179"/>
      <c r="EU138" s="179"/>
      <c r="EV138" s="179"/>
      <c r="EW138" s="179"/>
      <c r="EX138" s="179"/>
      <c r="EY138" s="179"/>
      <c r="EZ138" s="179"/>
      <c r="FA138" s="179"/>
      <c r="FB138" s="179"/>
      <c r="FC138" s="179"/>
      <c r="FD138" s="179"/>
      <c r="FE138" s="179"/>
      <c r="FF138" s="179"/>
      <c r="FG138" s="179"/>
      <c r="FH138" s="179"/>
      <c r="FI138" s="179"/>
      <c r="FJ138" s="179"/>
      <c r="FK138" s="179"/>
      <c r="FL138" s="179"/>
      <c r="FM138" s="179"/>
      <c r="FN138" s="179"/>
      <c r="FO138" s="179"/>
      <c r="FP138" s="179"/>
      <c r="FQ138" s="179"/>
      <c r="FR138" s="179"/>
      <c r="FS138" s="179"/>
      <c r="FT138" s="179"/>
      <c r="FU138" s="179"/>
      <c r="FV138" s="179"/>
      <c r="FW138" s="179"/>
      <c r="FX138" s="179"/>
      <c r="FY138" s="179"/>
      <c r="FZ138" s="179"/>
      <c r="GA138" s="179"/>
      <c r="GB138" s="179"/>
      <c r="GC138" s="179"/>
      <c r="GD138" s="179"/>
      <c r="GE138" s="179"/>
      <c r="GF138" s="179"/>
      <c r="GG138" s="179"/>
      <c r="GH138" s="179"/>
      <c r="GI138" s="179"/>
      <c r="GJ138" s="179"/>
      <c r="GK138" s="179"/>
      <c r="GL138" s="179"/>
      <c r="GM138" s="179"/>
      <c r="GN138" s="179"/>
      <c r="GO138" s="179"/>
      <c r="GP138" s="179"/>
      <c r="GQ138" s="179"/>
      <c r="GR138" s="179"/>
      <c r="GS138" s="179"/>
      <c r="GT138" s="179"/>
      <c r="GU138" s="179"/>
      <c r="GV138" s="179"/>
      <c r="GW138" s="179"/>
      <c r="GX138" s="179"/>
      <c r="GY138" s="179"/>
      <c r="GZ138" s="179"/>
      <c r="HA138" s="179"/>
      <c r="HB138" s="179"/>
      <c r="HC138" s="179"/>
      <c r="HD138" s="179"/>
      <c r="HE138" s="179"/>
      <c r="HF138" s="179"/>
      <c r="HG138" s="179"/>
      <c r="HH138" s="179"/>
      <c r="HI138" s="179"/>
      <c r="HJ138" s="179"/>
      <c r="HK138" s="179"/>
      <c r="HL138" s="179"/>
      <c r="HM138" s="179"/>
      <c r="HN138" s="179"/>
      <c r="HO138" s="179"/>
      <c r="HP138" s="179"/>
      <c r="HQ138" s="179"/>
      <c r="HR138" s="179"/>
      <c r="HS138" s="179"/>
      <c r="HT138" s="179"/>
      <c r="HU138" s="179"/>
      <c r="HV138" s="179"/>
      <c r="HW138" s="179"/>
      <c r="HX138" s="179"/>
      <c r="HY138" s="179"/>
      <c r="HZ138" s="179"/>
      <c r="IA138" s="179"/>
      <c r="IB138" s="179"/>
      <c r="IC138" s="179"/>
      <c r="ID138" s="179"/>
      <c r="IE138" s="179"/>
      <c r="IF138" s="179"/>
      <c r="IG138" s="179"/>
      <c r="IH138" s="179"/>
      <c r="II138" s="179"/>
      <c r="IJ138" s="179"/>
      <c r="IK138" s="179"/>
      <c r="IL138" s="179"/>
      <c r="IM138" s="179"/>
      <c r="IN138" s="179"/>
      <c r="IO138" s="179"/>
      <c r="IP138" s="179"/>
    </row>
    <row r="139" spans="1:251" s="73" customFormat="1">
      <c r="A139" s="193" t="s">
        <v>798</v>
      </c>
      <c r="B139" s="325">
        <v>202781</v>
      </c>
      <c r="C139" s="193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30"/>
      <c r="AO139" s="230"/>
      <c r="AP139" s="230"/>
      <c r="AQ139" s="230"/>
      <c r="AR139" s="230"/>
      <c r="AS139" s="230"/>
      <c r="AT139" s="230"/>
      <c r="AU139" s="230"/>
      <c r="AV139" s="230"/>
      <c r="AW139" s="230"/>
      <c r="AX139" s="230"/>
      <c r="AY139" s="230"/>
      <c r="AZ139" s="230"/>
      <c r="BA139" s="230"/>
      <c r="BB139" s="230"/>
      <c r="BC139" s="230"/>
      <c r="BD139" s="230"/>
      <c r="BE139" s="230"/>
      <c r="BF139" s="230"/>
      <c r="BG139" s="230"/>
      <c r="BH139" s="230"/>
      <c r="BI139" s="230"/>
      <c r="BJ139" s="230"/>
      <c r="BK139" s="230"/>
      <c r="BL139" s="230"/>
      <c r="BM139" s="230"/>
      <c r="BN139" s="230"/>
      <c r="BO139" s="230"/>
      <c r="BP139" s="230"/>
      <c r="BQ139" s="230"/>
      <c r="BR139" s="230"/>
      <c r="BS139" s="230"/>
      <c r="BT139" s="230"/>
      <c r="BU139" s="230"/>
      <c r="BV139" s="230"/>
      <c r="BW139" s="230"/>
      <c r="BX139" s="230"/>
      <c r="BY139" s="230"/>
      <c r="BZ139" s="230"/>
      <c r="CA139" s="230"/>
      <c r="CB139" s="230"/>
      <c r="CC139" s="230"/>
      <c r="CD139" s="230"/>
      <c r="CE139" s="230"/>
      <c r="CF139" s="230"/>
      <c r="CG139" s="230"/>
      <c r="CH139" s="230"/>
      <c r="CI139" s="230"/>
      <c r="CJ139" s="230"/>
      <c r="CK139" s="230"/>
      <c r="CL139" s="230"/>
      <c r="CM139" s="230"/>
      <c r="CN139" s="230"/>
      <c r="CO139" s="230"/>
      <c r="CP139" s="230"/>
      <c r="CQ139" s="230"/>
      <c r="CR139" s="230"/>
      <c r="CS139" s="230"/>
      <c r="CT139" s="230"/>
      <c r="CU139" s="230"/>
      <c r="CV139" s="230"/>
      <c r="CW139" s="230"/>
      <c r="CX139" s="230"/>
      <c r="CY139" s="230"/>
      <c r="CZ139" s="230"/>
      <c r="DA139" s="230"/>
      <c r="DB139" s="230"/>
      <c r="DC139" s="230"/>
      <c r="DD139" s="230"/>
      <c r="DE139" s="230"/>
      <c r="DF139" s="230"/>
      <c r="DG139" s="230"/>
      <c r="DH139" s="230"/>
      <c r="DI139" s="230"/>
      <c r="DJ139" s="230"/>
      <c r="DK139" s="230"/>
      <c r="DL139" s="230"/>
      <c r="DM139" s="230"/>
      <c r="DN139" s="230"/>
      <c r="DO139" s="230"/>
      <c r="DP139" s="230"/>
      <c r="DQ139" s="230"/>
      <c r="DR139" s="230"/>
      <c r="DS139" s="230"/>
      <c r="DT139" s="230"/>
      <c r="DU139" s="230"/>
      <c r="DV139" s="230"/>
      <c r="DW139" s="230"/>
      <c r="DX139" s="230"/>
      <c r="DY139" s="230"/>
      <c r="DZ139" s="230"/>
      <c r="EA139" s="230"/>
      <c r="EB139" s="230"/>
      <c r="EC139" s="230"/>
      <c r="ED139" s="230"/>
      <c r="EE139" s="230"/>
      <c r="EF139" s="230"/>
      <c r="EG139" s="230"/>
      <c r="EH139" s="230"/>
      <c r="EI139" s="230"/>
      <c r="EJ139" s="230"/>
      <c r="EK139" s="230"/>
      <c r="EL139" s="230"/>
      <c r="EM139" s="230"/>
      <c r="EN139" s="230"/>
      <c r="EO139" s="230"/>
      <c r="EP139" s="230"/>
      <c r="EQ139" s="230"/>
      <c r="ER139" s="230"/>
      <c r="ES139" s="230"/>
      <c r="ET139" s="230"/>
      <c r="EU139" s="230"/>
      <c r="EV139" s="230"/>
      <c r="EW139" s="230"/>
      <c r="EX139" s="230"/>
      <c r="EY139" s="230"/>
      <c r="EZ139" s="230"/>
      <c r="FA139" s="230"/>
      <c r="FB139" s="230"/>
      <c r="FC139" s="230"/>
      <c r="FD139" s="230"/>
      <c r="FE139" s="230"/>
      <c r="FF139" s="230"/>
      <c r="FG139" s="230"/>
      <c r="FH139" s="230"/>
      <c r="FI139" s="230"/>
      <c r="FJ139" s="230"/>
      <c r="FK139" s="230"/>
      <c r="FL139" s="230"/>
      <c r="FM139" s="230"/>
      <c r="FN139" s="230"/>
      <c r="FO139" s="230"/>
      <c r="FP139" s="230"/>
      <c r="FQ139" s="230"/>
      <c r="FR139" s="230"/>
      <c r="FS139" s="230"/>
      <c r="FT139" s="230"/>
      <c r="FU139" s="230"/>
      <c r="FV139" s="230"/>
      <c r="FW139" s="230"/>
      <c r="FX139" s="230"/>
      <c r="FY139" s="230"/>
      <c r="FZ139" s="230"/>
      <c r="GA139" s="230"/>
      <c r="GB139" s="230"/>
      <c r="GC139" s="230"/>
      <c r="GD139" s="230"/>
      <c r="GE139" s="230"/>
      <c r="GF139" s="230"/>
      <c r="GG139" s="230"/>
      <c r="GH139" s="230"/>
      <c r="GI139" s="230"/>
      <c r="GJ139" s="230"/>
      <c r="GK139" s="230"/>
      <c r="GL139" s="230"/>
      <c r="GM139" s="230"/>
      <c r="GN139" s="230"/>
      <c r="GO139" s="230"/>
      <c r="GP139" s="230"/>
      <c r="GQ139" s="230"/>
      <c r="GR139" s="230"/>
      <c r="GS139" s="230"/>
      <c r="GT139" s="230"/>
      <c r="GU139" s="230"/>
      <c r="GV139" s="230"/>
      <c r="GW139" s="230"/>
      <c r="GX139" s="230"/>
      <c r="GY139" s="230"/>
      <c r="GZ139" s="230"/>
      <c r="HA139" s="230"/>
      <c r="HB139" s="230"/>
      <c r="HC139" s="230"/>
      <c r="HD139" s="230"/>
      <c r="HE139" s="230"/>
      <c r="HF139" s="230"/>
      <c r="HG139" s="230"/>
      <c r="HH139" s="230"/>
      <c r="HI139" s="230"/>
      <c r="HJ139" s="230"/>
      <c r="HK139" s="230"/>
      <c r="HL139" s="230"/>
      <c r="HM139" s="230"/>
      <c r="HN139" s="230"/>
      <c r="HO139" s="230"/>
      <c r="HP139" s="230"/>
      <c r="HQ139" s="230"/>
      <c r="HR139" s="230"/>
      <c r="HS139" s="230"/>
      <c r="HT139" s="230"/>
      <c r="HU139" s="230"/>
      <c r="HV139" s="230"/>
      <c r="HW139" s="230"/>
      <c r="HX139" s="230"/>
      <c r="HY139" s="230"/>
      <c r="HZ139" s="230"/>
      <c r="IA139" s="230"/>
      <c r="IB139" s="230"/>
      <c r="IC139" s="230"/>
      <c r="ID139" s="230"/>
      <c r="IE139" s="230"/>
      <c r="IF139" s="230"/>
      <c r="IG139" s="230"/>
      <c r="IH139" s="230"/>
      <c r="II139" s="230"/>
      <c r="IJ139" s="230"/>
      <c r="IK139" s="230"/>
      <c r="IL139" s="230"/>
      <c r="IM139" s="230"/>
      <c r="IN139" s="230"/>
      <c r="IO139" s="230"/>
      <c r="IP139" s="230"/>
    </row>
    <row r="140" spans="1:251" s="73" customFormat="1">
      <c r="A140" s="193" t="s">
        <v>1124</v>
      </c>
      <c r="B140" s="325">
        <v>37309</v>
      </c>
      <c r="C140" s="193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0"/>
      <c r="AI140" s="230"/>
      <c r="AJ140" s="230"/>
      <c r="AK140" s="230"/>
      <c r="AL140" s="230"/>
      <c r="AM140" s="230"/>
      <c r="AN140" s="230"/>
      <c r="AO140" s="230"/>
      <c r="AP140" s="230"/>
      <c r="AQ140" s="230"/>
      <c r="AR140" s="230"/>
      <c r="AS140" s="230"/>
      <c r="AT140" s="230"/>
      <c r="AU140" s="230"/>
      <c r="AV140" s="230"/>
      <c r="AW140" s="230"/>
      <c r="AX140" s="230"/>
      <c r="AY140" s="230"/>
      <c r="AZ140" s="230"/>
      <c r="BA140" s="230"/>
      <c r="BB140" s="230"/>
      <c r="BC140" s="230"/>
      <c r="BD140" s="230"/>
      <c r="BE140" s="230"/>
      <c r="BF140" s="230"/>
      <c r="BG140" s="230"/>
      <c r="BH140" s="230"/>
      <c r="BI140" s="230"/>
      <c r="BJ140" s="230"/>
      <c r="BK140" s="230"/>
      <c r="BL140" s="230"/>
      <c r="BM140" s="230"/>
      <c r="BN140" s="230"/>
      <c r="BO140" s="230"/>
      <c r="BP140" s="230"/>
      <c r="BQ140" s="230"/>
      <c r="BR140" s="230"/>
      <c r="BS140" s="230"/>
      <c r="BT140" s="230"/>
      <c r="BU140" s="230"/>
      <c r="BV140" s="230"/>
      <c r="BW140" s="230"/>
      <c r="BX140" s="230"/>
      <c r="BY140" s="230"/>
      <c r="BZ140" s="230"/>
      <c r="CA140" s="230"/>
      <c r="CB140" s="230"/>
      <c r="CC140" s="230"/>
      <c r="CD140" s="230"/>
      <c r="CE140" s="230"/>
      <c r="CF140" s="230"/>
      <c r="CG140" s="230"/>
      <c r="CH140" s="230"/>
      <c r="CI140" s="230"/>
      <c r="CJ140" s="230"/>
      <c r="CK140" s="230"/>
      <c r="CL140" s="230"/>
      <c r="CM140" s="230"/>
      <c r="CN140" s="230"/>
      <c r="CO140" s="230"/>
      <c r="CP140" s="230"/>
      <c r="CQ140" s="230"/>
      <c r="CR140" s="230"/>
      <c r="CS140" s="230"/>
      <c r="CT140" s="230"/>
      <c r="CU140" s="230"/>
      <c r="CV140" s="230"/>
      <c r="CW140" s="230"/>
      <c r="CX140" s="230"/>
      <c r="CY140" s="230"/>
      <c r="CZ140" s="230"/>
      <c r="DA140" s="230"/>
      <c r="DB140" s="230"/>
      <c r="DC140" s="230"/>
      <c r="DD140" s="230"/>
      <c r="DE140" s="230"/>
      <c r="DF140" s="230"/>
      <c r="DG140" s="230"/>
      <c r="DH140" s="230"/>
      <c r="DI140" s="230"/>
      <c r="DJ140" s="230"/>
      <c r="DK140" s="230"/>
      <c r="DL140" s="230"/>
      <c r="DM140" s="230"/>
      <c r="DN140" s="230"/>
      <c r="DO140" s="230"/>
      <c r="DP140" s="230"/>
      <c r="DQ140" s="230"/>
      <c r="DR140" s="230"/>
      <c r="DS140" s="230"/>
      <c r="DT140" s="230"/>
      <c r="DU140" s="230"/>
      <c r="DV140" s="230"/>
      <c r="DW140" s="230"/>
      <c r="DX140" s="230"/>
      <c r="DY140" s="230"/>
      <c r="DZ140" s="230"/>
      <c r="EA140" s="230"/>
      <c r="EB140" s="230"/>
      <c r="EC140" s="230"/>
      <c r="ED140" s="230"/>
      <c r="EE140" s="230"/>
      <c r="EF140" s="230"/>
      <c r="EG140" s="230"/>
      <c r="EH140" s="230"/>
      <c r="EI140" s="230"/>
      <c r="EJ140" s="230"/>
      <c r="EK140" s="230"/>
      <c r="EL140" s="230"/>
      <c r="EM140" s="230"/>
      <c r="EN140" s="230"/>
      <c r="EO140" s="230"/>
      <c r="EP140" s="230"/>
      <c r="EQ140" s="230"/>
      <c r="ER140" s="230"/>
      <c r="ES140" s="230"/>
      <c r="ET140" s="230"/>
      <c r="EU140" s="230"/>
      <c r="EV140" s="230"/>
      <c r="EW140" s="230"/>
      <c r="EX140" s="230"/>
      <c r="EY140" s="230"/>
      <c r="EZ140" s="230"/>
      <c r="FA140" s="230"/>
      <c r="FB140" s="230"/>
      <c r="FC140" s="230"/>
      <c r="FD140" s="230"/>
      <c r="FE140" s="230"/>
      <c r="FF140" s="230"/>
      <c r="FG140" s="230"/>
      <c r="FH140" s="230"/>
      <c r="FI140" s="230"/>
      <c r="FJ140" s="230"/>
      <c r="FK140" s="230"/>
      <c r="FL140" s="230"/>
      <c r="FM140" s="230"/>
      <c r="FN140" s="230"/>
      <c r="FO140" s="230"/>
      <c r="FP140" s="230"/>
      <c r="FQ140" s="230"/>
      <c r="FR140" s="230"/>
      <c r="FS140" s="230"/>
      <c r="FT140" s="230"/>
      <c r="FU140" s="230"/>
      <c r="FV140" s="230"/>
      <c r="FW140" s="230"/>
      <c r="FX140" s="230"/>
      <c r="FY140" s="230"/>
      <c r="FZ140" s="230"/>
      <c r="GA140" s="230"/>
      <c r="GB140" s="230"/>
      <c r="GC140" s="230"/>
      <c r="GD140" s="230"/>
      <c r="GE140" s="230"/>
      <c r="GF140" s="230"/>
      <c r="GG140" s="230"/>
      <c r="GH140" s="230"/>
      <c r="GI140" s="230"/>
      <c r="GJ140" s="230"/>
      <c r="GK140" s="230"/>
      <c r="GL140" s="230"/>
      <c r="GM140" s="230"/>
      <c r="GN140" s="230"/>
      <c r="GO140" s="230"/>
      <c r="GP140" s="230"/>
      <c r="GQ140" s="230"/>
      <c r="GR140" s="230"/>
      <c r="GS140" s="230"/>
      <c r="GT140" s="230"/>
      <c r="GU140" s="230"/>
      <c r="GV140" s="230"/>
      <c r="GW140" s="230"/>
      <c r="GX140" s="230"/>
      <c r="GY140" s="230"/>
      <c r="GZ140" s="230"/>
      <c r="HA140" s="230"/>
      <c r="HB140" s="230"/>
      <c r="HC140" s="230"/>
      <c r="HD140" s="230"/>
      <c r="HE140" s="230"/>
      <c r="HF140" s="230"/>
      <c r="HG140" s="230"/>
      <c r="HH140" s="230"/>
      <c r="HI140" s="230"/>
      <c r="HJ140" s="230"/>
      <c r="HK140" s="230"/>
      <c r="HL140" s="230"/>
      <c r="HM140" s="230"/>
      <c r="HN140" s="230"/>
      <c r="HO140" s="230"/>
      <c r="HP140" s="230"/>
      <c r="HQ140" s="230"/>
      <c r="HR140" s="230"/>
      <c r="HS140" s="230"/>
      <c r="HT140" s="230"/>
      <c r="HU140" s="230"/>
      <c r="HV140" s="230"/>
      <c r="HW140" s="230"/>
      <c r="HX140" s="230"/>
      <c r="HY140" s="230"/>
      <c r="HZ140" s="230"/>
      <c r="IA140" s="230"/>
      <c r="IB140" s="230"/>
      <c r="IC140" s="230"/>
      <c r="ID140" s="230"/>
      <c r="IE140" s="230"/>
      <c r="IF140" s="230"/>
      <c r="IG140" s="230"/>
      <c r="IH140" s="230"/>
      <c r="II140" s="230"/>
      <c r="IJ140" s="230"/>
      <c r="IK140" s="230"/>
      <c r="IL140" s="230"/>
      <c r="IM140" s="230"/>
      <c r="IN140" s="230"/>
      <c r="IO140" s="230"/>
      <c r="IP140" s="230"/>
    </row>
    <row r="141" spans="1:251" s="73" customFormat="1" ht="29.25" customHeight="1">
      <c r="A141" s="234" t="s">
        <v>1235</v>
      </c>
      <c r="B141" s="324">
        <f>B139</f>
        <v>202781</v>
      </c>
      <c r="C141" s="193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230"/>
      <c r="AH141" s="230"/>
      <c r="AI141" s="230"/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  <c r="AT141" s="230"/>
      <c r="AU141" s="230"/>
      <c r="AV141" s="230"/>
      <c r="AW141" s="230"/>
      <c r="AX141" s="230"/>
      <c r="AY141" s="230"/>
      <c r="AZ141" s="230"/>
      <c r="BA141" s="230"/>
      <c r="BB141" s="230"/>
      <c r="BC141" s="230"/>
      <c r="BD141" s="230"/>
      <c r="BE141" s="230"/>
      <c r="BF141" s="230"/>
      <c r="BG141" s="230"/>
      <c r="BH141" s="230"/>
      <c r="BI141" s="230"/>
      <c r="BJ141" s="230"/>
      <c r="BK141" s="230"/>
      <c r="BL141" s="230"/>
      <c r="BM141" s="230"/>
      <c r="BN141" s="230"/>
      <c r="BO141" s="230"/>
      <c r="BP141" s="230"/>
      <c r="BQ141" s="230"/>
      <c r="BR141" s="230"/>
      <c r="BS141" s="230"/>
      <c r="BT141" s="230"/>
      <c r="BU141" s="230"/>
      <c r="BV141" s="230"/>
      <c r="BW141" s="230"/>
      <c r="BX141" s="230"/>
      <c r="BY141" s="230"/>
      <c r="BZ141" s="230"/>
      <c r="CA141" s="230"/>
      <c r="CB141" s="230"/>
      <c r="CC141" s="230"/>
      <c r="CD141" s="230"/>
      <c r="CE141" s="230"/>
      <c r="CF141" s="230"/>
      <c r="CG141" s="230"/>
      <c r="CH141" s="230"/>
      <c r="CI141" s="230"/>
      <c r="CJ141" s="230"/>
      <c r="CK141" s="230"/>
      <c r="CL141" s="230"/>
      <c r="CM141" s="230"/>
      <c r="CN141" s="230"/>
      <c r="CO141" s="230"/>
      <c r="CP141" s="230"/>
      <c r="CQ141" s="230"/>
      <c r="CR141" s="230"/>
      <c r="CS141" s="230"/>
      <c r="CT141" s="230"/>
      <c r="CU141" s="230"/>
      <c r="CV141" s="230"/>
      <c r="CW141" s="230"/>
      <c r="CX141" s="230"/>
      <c r="CY141" s="230"/>
      <c r="CZ141" s="230"/>
      <c r="DA141" s="230"/>
      <c r="DB141" s="230"/>
      <c r="DC141" s="230"/>
      <c r="DD141" s="230"/>
      <c r="DE141" s="230"/>
      <c r="DF141" s="230"/>
      <c r="DG141" s="230"/>
      <c r="DH141" s="230"/>
      <c r="DI141" s="230"/>
      <c r="DJ141" s="230"/>
      <c r="DK141" s="230"/>
      <c r="DL141" s="230"/>
      <c r="DM141" s="230"/>
      <c r="DN141" s="230"/>
      <c r="DO141" s="230"/>
      <c r="DP141" s="230"/>
      <c r="DQ141" s="230"/>
      <c r="DR141" s="230"/>
      <c r="DS141" s="230"/>
      <c r="DT141" s="230"/>
      <c r="DU141" s="230"/>
      <c r="DV141" s="230"/>
      <c r="DW141" s="230"/>
      <c r="DX141" s="230"/>
      <c r="DY141" s="230"/>
      <c r="DZ141" s="230"/>
      <c r="EA141" s="230"/>
      <c r="EB141" s="230"/>
      <c r="EC141" s="230"/>
      <c r="ED141" s="230"/>
      <c r="EE141" s="230"/>
      <c r="EF141" s="230"/>
      <c r="EG141" s="230"/>
      <c r="EH141" s="230"/>
      <c r="EI141" s="230"/>
      <c r="EJ141" s="230"/>
      <c r="EK141" s="230"/>
      <c r="EL141" s="230"/>
      <c r="EM141" s="230"/>
      <c r="EN141" s="230"/>
      <c r="EO141" s="230"/>
      <c r="EP141" s="230"/>
      <c r="EQ141" s="230"/>
      <c r="ER141" s="230"/>
      <c r="ES141" s="230"/>
      <c r="ET141" s="230"/>
      <c r="EU141" s="230"/>
      <c r="EV141" s="230"/>
      <c r="EW141" s="230"/>
      <c r="EX141" s="230"/>
      <c r="EY141" s="230"/>
      <c r="EZ141" s="230"/>
      <c r="FA141" s="230"/>
      <c r="FB141" s="230"/>
      <c r="FC141" s="230"/>
      <c r="FD141" s="230"/>
      <c r="FE141" s="230"/>
      <c r="FF141" s="230"/>
      <c r="FG141" s="230"/>
      <c r="FH141" s="230"/>
      <c r="FI141" s="230"/>
      <c r="FJ141" s="230"/>
      <c r="FK141" s="230"/>
      <c r="FL141" s="230"/>
      <c r="FM141" s="230"/>
      <c r="FN141" s="230"/>
      <c r="FO141" s="230"/>
      <c r="FP141" s="230"/>
      <c r="FQ141" s="230"/>
      <c r="FR141" s="230"/>
      <c r="FS141" s="230"/>
      <c r="FT141" s="230"/>
      <c r="FU141" s="230"/>
      <c r="FV141" s="230"/>
      <c r="FW141" s="230"/>
      <c r="FX141" s="230"/>
      <c r="FY141" s="230"/>
      <c r="FZ141" s="230"/>
      <c r="GA141" s="230"/>
      <c r="GB141" s="230"/>
      <c r="GC141" s="230"/>
      <c r="GD141" s="230"/>
      <c r="GE141" s="230"/>
      <c r="GF141" s="230"/>
      <c r="GG141" s="230"/>
      <c r="GH141" s="230"/>
      <c r="GI141" s="230"/>
      <c r="GJ141" s="230"/>
      <c r="GK141" s="230"/>
      <c r="GL141" s="230"/>
      <c r="GM141" s="230"/>
      <c r="GN141" s="230"/>
      <c r="GO141" s="230"/>
      <c r="GP141" s="230"/>
      <c r="GQ141" s="230"/>
      <c r="GR141" s="230"/>
      <c r="GS141" s="230"/>
      <c r="GT141" s="230"/>
      <c r="GU141" s="230"/>
      <c r="GV141" s="230"/>
      <c r="GW141" s="230"/>
      <c r="GX141" s="230"/>
      <c r="GY141" s="230"/>
      <c r="GZ141" s="230"/>
      <c r="HA141" s="230"/>
      <c r="HB141" s="230"/>
      <c r="HC141" s="230"/>
      <c r="HD141" s="230"/>
      <c r="HE141" s="230"/>
      <c r="HF141" s="230"/>
      <c r="HG141" s="230"/>
      <c r="HH141" s="230"/>
      <c r="HI141" s="230"/>
      <c r="HJ141" s="230"/>
      <c r="HK141" s="230"/>
      <c r="HL141" s="230"/>
      <c r="HM141" s="230"/>
      <c r="HN141" s="230"/>
      <c r="HO141" s="230"/>
      <c r="HP141" s="230"/>
      <c r="HQ141" s="230"/>
      <c r="HR141" s="230"/>
      <c r="HS141" s="230"/>
      <c r="HT141" s="230"/>
      <c r="HU141" s="230"/>
      <c r="HV141" s="230"/>
      <c r="HW141" s="230"/>
      <c r="HX141" s="230"/>
      <c r="HY141" s="230"/>
      <c r="HZ141" s="230"/>
      <c r="IA141" s="230"/>
      <c r="IB141" s="230"/>
      <c r="IC141" s="230"/>
      <c r="ID141" s="230"/>
      <c r="IE141" s="230"/>
      <c r="IF141" s="230"/>
      <c r="IG141" s="230"/>
      <c r="IH141" s="230"/>
      <c r="II141" s="230"/>
      <c r="IJ141" s="230"/>
      <c r="IK141" s="230"/>
      <c r="IL141" s="230"/>
      <c r="IM141" s="230"/>
      <c r="IN141" s="230"/>
      <c r="IO141" s="230"/>
      <c r="IP141" s="230"/>
    </row>
    <row r="142" spans="1:251">
      <c r="A142" s="197"/>
      <c r="B142" s="197"/>
      <c r="C142" s="213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  <c r="BI142" s="179"/>
      <c r="BJ142" s="179"/>
      <c r="BK142" s="179"/>
      <c r="BL142" s="179"/>
      <c r="BM142" s="179"/>
      <c r="BN142" s="179"/>
      <c r="BO142" s="179"/>
      <c r="BP142" s="179"/>
      <c r="BQ142" s="179"/>
      <c r="BR142" s="179"/>
      <c r="BS142" s="179"/>
      <c r="BT142" s="179"/>
      <c r="BU142" s="179"/>
      <c r="BV142" s="179"/>
      <c r="BW142" s="179"/>
      <c r="BX142" s="179"/>
      <c r="BY142" s="179"/>
      <c r="BZ142" s="179"/>
      <c r="CA142" s="179"/>
      <c r="CB142" s="179"/>
      <c r="CC142" s="179"/>
      <c r="CD142" s="179"/>
      <c r="CE142" s="179"/>
      <c r="CF142" s="179"/>
      <c r="CG142" s="179"/>
      <c r="CH142" s="179"/>
      <c r="CI142" s="179"/>
      <c r="CJ142" s="179"/>
      <c r="CK142" s="179"/>
      <c r="CL142" s="179"/>
      <c r="CM142" s="179"/>
      <c r="CN142" s="179"/>
      <c r="CO142" s="179"/>
      <c r="CP142" s="179"/>
      <c r="CQ142" s="179"/>
      <c r="CR142" s="179"/>
      <c r="CS142" s="179"/>
      <c r="CT142" s="179"/>
      <c r="CU142" s="179"/>
      <c r="CV142" s="179"/>
      <c r="CW142" s="179"/>
      <c r="CX142" s="179"/>
      <c r="CY142" s="179"/>
      <c r="CZ142" s="179"/>
      <c r="DA142" s="179"/>
      <c r="DB142" s="179"/>
      <c r="DC142" s="179"/>
      <c r="DD142" s="179"/>
      <c r="DE142" s="179"/>
      <c r="DF142" s="179"/>
      <c r="DG142" s="179"/>
      <c r="DH142" s="179"/>
      <c r="DI142" s="179"/>
      <c r="DJ142" s="179"/>
      <c r="DK142" s="179"/>
      <c r="DL142" s="179"/>
      <c r="DM142" s="179"/>
      <c r="DN142" s="179"/>
      <c r="DO142" s="179"/>
      <c r="DP142" s="179"/>
      <c r="DQ142" s="179"/>
      <c r="DR142" s="179"/>
      <c r="DS142" s="179"/>
      <c r="DT142" s="179"/>
      <c r="DU142" s="179"/>
      <c r="DV142" s="179"/>
      <c r="DW142" s="179"/>
      <c r="DX142" s="179"/>
      <c r="DY142" s="179"/>
      <c r="DZ142" s="179"/>
      <c r="EA142" s="179"/>
      <c r="EB142" s="179"/>
      <c r="EC142" s="179"/>
      <c r="ED142" s="179"/>
      <c r="EE142" s="179"/>
      <c r="EF142" s="179"/>
      <c r="EG142" s="179"/>
      <c r="EH142" s="179"/>
      <c r="EI142" s="179"/>
      <c r="EJ142" s="179"/>
      <c r="EK142" s="179"/>
      <c r="EL142" s="179"/>
      <c r="EM142" s="179"/>
      <c r="EN142" s="179"/>
      <c r="EO142" s="179"/>
      <c r="EP142" s="179"/>
      <c r="EQ142" s="179"/>
      <c r="ER142" s="179"/>
      <c r="ES142" s="179"/>
      <c r="ET142" s="179"/>
      <c r="EU142" s="179"/>
      <c r="EV142" s="179"/>
      <c r="EW142" s="179"/>
      <c r="EX142" s="179"/>
      <c r="EY142" s="179"/>
      <c r="EZ142" s="179"/>
      <c r="FA142" s="179"/>
      <c r="FB142" s="179"/>
      <c r="FC142" s="179"/>
      <c r="FD142" s="179"/>
      <c r="FE142" s="179"/>
      <c r="FF142" s="179"/>
      <c r="FG142" s="179"/>
      <c r="FH142" s="179"/>
      <c r="FI142" s="179"/>
      <c r="FJ142" s="179"/>
      <c r="FK142" s="179"/>
      <c r="FL142" s="179"/>
      <c r="FM142" s="179"/>
      <c r="FN142" s="179"/>
      <c r="FO142" s="179"/>
      <c r="FP142" s="179"/>
      <c r="FQ142" s="179"/>
      <c r="FR142" s="179"/>
      <c r="FS142" s="179"/>
      <c r="FT142" s="179"/>
      <c r="FU142" s="179"/>
      <c r="FV142" s="179"/>
      <c r="FW142" s="179"/>
      <c r="FX142" s="179"/>
      <c r="FY142" s="179"/>
      <c r="FZ142" s="179"/>
      <c r="GA142" s="179"/>
      <c r="GB142" s="179"/>
      <c r="GC142" s="179"/>
      <c r="GD142" s="179"/>
      <c r="GE142" s="179"/>
      <c r="GF142" s="179"/>
      <c r="GG142" s="179"/>
      <c r="GH142" s="179"/>
      <c r="GI142" s="179"/>
      <c r="GJ142" s="179"/>
      <c r="GK142" s="179"/>
      <c r="GL142" s="179"/>
      <c r="GM142" s="179"/>
      <c r="GN142" s="179"/>
      <c r="GO142" s="179"/>
      <c r="GP142" s="179"/>
      <c r="GQ142" s="179"/>
      <c r="GR142" s="179"/>
      <c r="GS142" s="179"/>
      <c r="GT142" s="179"/>
      <c r="GU142" s="179"/>
      <c r="GV142" s="179"/>
      <c r="GW142" s="179"/>
      <c r="GX142" s="179"/>
      <c r="GY142" s="179"/>
      <c r="GZ142" s="179"/>
      <c r="HA142" s="179"/>
      <c r="HB142" s="179"/>
      <c r="HC142" s="179"/>
      <c r="HD142" s="179"/>
      <c r="HE142" s="179"/>
      <c r="HF142" s="179"/>
      <c r="HG142" s="179"/>
      <c r="HH142" s="179"/>
      <c r="HI142" s="179"/>
      <c r="HJ142" s="179"/>
      <c r="HK142" s="179"/>
      <c r="HL142" s="179"/>
      <c r="HM142" s="179"/>
      <c r="HN142" s="179"/>
      <c r="HO142" s="179"/>
      <c r="HP142" s="179"/>
      <c r="HQ142" s="179"/>
      <c r="HR142" s="179"/>
      <c r="HS142" s="179"/>
      <c r="HT142" s="179"/>
      <c r="HU142" s="179"/>
      <c r="HV142" s="179"/>
      <c r="HW142" s="179"/>
      <c r="HX142" s="179"/>
      <c r="HY142" s="179"/>
      <c r="HZ142" s="179"/>
      <c r="IA142" s="179"/>
      <c r="IB142" s="179"/>
      <c r="IC142" s="179"/>
      <c r="ID142" s="179"/>
      <c r="IE142" s="179"/>
      <c r="IF142" s="179"/>
      <c r="IG142" s="179"/>
      <c r="IH142" s="179"/>
      <c r="II142" s="179"/>
      <c r="IJ142" s="179"/>
      <c r="IK142" s="179"/>
      <c r="IL142" s="179"/>
      <c r="IM142" s="179"/>
      <c r="IN142" s="179"/>
      <c r="IO142" s="179"/>
      <c r="IP142" s="179"/>
    </row>
    <row r="143" spans="1:251" s="73" customFormat="1">
      <c r="A143" s="196" t="s">
        <v>1130</v>
      </c>
      <c r="B143" s="326">
        <f>B145+B146+B147+B148+B149+B151+B154+B152+B153</f>
        <v>198356.34725346582</v>
      </c>
      <c r="C143" s="193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  <c r="AG143" s="230"/>
      <c r="AH143" s="230"/>
      <c r="AI143" s="230"/>
      <c r="AJ143" s="230"/>
      <c r="AK143" s="230"/>
      <c r="AL143" s="230"/>
      <c r="AM143" s="230"/>
      <c r="AN143" s="230"/>
      <c r="AO143" s="230"/>
      <c r="AP143" s="230"/>
      <c r="AQ143" s="230"/>
      <c r="AR143" s="230"/>
      <c r="AS143" s="230"/>
      <c r="AT143" s="230"/>
      <c r="AU143" s="230"/>
      <c r="AV143" s="230"/>
      <c r="AW143" s="230"/>
      <c r="AX143" s="230"/>
      <c r="AY143" s="230"/>
      <c r="AZ143" s="230"/>
      <c r="BA143" s="230"/>
      <c r="BB143" s="230"/>
      <c r="BC143" s="230"/>
      <c r="BD143" s="230"/>
      <c r="BE143" s="230"/>
      <c r="BF143" s="230"/>
      <c r="BG143" s="230"/>
      <c r="BH143" s="230"/>
      <c r="BI143" s="230"/>
      <c r="BJ143" s="230"/>
      <c r="BK143" s="230"/>
      <c r="BL143" s="230"/>
      <c r="BM143" s="230"/>
      <c r="BN143" s="230"/>
      <c r="BO143" s="230"/>
      <c r="BP143" s="230"/>
      <c r="BQ143" s="230"/>
      <c r="BR143" s="230"/>
      <c r="BS143" s="230"/>
      <c r="BT143" s="230"/>
      <c r="BU143" s="230"/>
      <c r="BV143" s="230"/>
      <c r="BW143" s="230"/>
      <c r="BX143" s="230"/>
      <c r="BY143" s="230"/>
      <c r="BZ143" s="230"/>
      <c r="CA143" s="230"/>
      <c r="CB143" s="230"/>
      <c r="CC143" s="230"/>
      <c r="CD143" s="230"/>
      <c r="CE143" s="230"/>
      <c r="CF143" s="230"/>
      <c r="CG143" s="230"/>
      <c r="CH143" s="230"/>
      <c r="CI143" s="230"/>
      <c r="CJ143" s="230"/>
      <c r="CK143" s="230"/>
      <c r="CL143" s="230"/>
      <c r="CM143" s="230"/>
      <c r="CN143" s="230"/>
      <c r="CO143" s="230"/>
      <c r="CP143" s="230"/>
      <c r="CQ143" s="230"/>
      <c r="CR143" s="230"/>
      <c r="CS143" s="230"/>
      <c r="CT143" s="230"/>
      <c r="CU143" s="230"/>
      <c r="CV143" s="230"/>
      <c r="CW143" s="230"/>
      <c r="CX143" s="230"/>
      <c r="CY143" s="230"/>
      <c r="CZ143" s="230"/>
      <c r="DA143" s="230"/>
      <c r="DB143" s="230"/>
      <c r="DC143" s="230"/>
      <c r="DD143" s="230"/>
      <c r="DE143" s="230"/>
      <c r="DF143" s="230"/>
      <c r="DG143" s="230"/>
      <c r="DH143" s="230"/>
      <c r="DI143" s="230"/>
      <c r="DJ143" s="230"/>
      <c r="DK143" s="230"/>
      <c r="DL143" s="230"/>
      <c r="DM143" s="230"/>
      <c r="DN143" s="230"/>
      <c r="DO143" s="230"/>
      <c r="DP143" s="230"/>
      <c r="DQ143" s="230"/>
      <c r="DR143" s="230"/>
      <c r="DS143" s="230"/>
      <c r="DT143" s="230"/>
      <c r="DU143" s="230"/>
      <c r="DV143" s="230"/>
      <c r="DW143" s="230"/>
      <c r="DX143" s="230"/>
      <c r="DY143" s="230"/>
      <c r="DZ143" s="230"/>
      <c r="EA143" s="230"/>
      <c r="EB143" s="230"/>
      <c r="EC143" s="230"/>
      <c r="ED143" s="230"/>
      <c r="EE143" s="230"/>
      <c r="EF143" s="230"/>
      <c r="EG143" s="230"/>
      <c r="EH143" s="230"/>
      <c r="EI143" s="230"/>
      <c r="EJ143" s="230"/>
      <c r="EK143" s="230"/>
      <c r="EL143" s="230"/>
      <c r="EM143" s="230"/>
      <c r="EN143" s="230"/>
      <c r="EO143" s="230"/>
      <c r="EP143" s="230"/>
      <c r="EQ143" s="230"/>
      <c r="ER143" s="230"/>
      <c r="ES143" s="230"/>
      <c r="ET143" s="230"/>
      <c r="EU143" s="230"/>
      <c r="EV143" s="230"/>
      <c r="EW143" s="230"/>
      <c r="EX143" s="230"/>
      <c r="EY143" s="230"/>
      <c r="EZ143" s="230"/>
      <c r="FA143" s="230"/>
      <c r="FB143" s="230"/>
      <c r="FC143" s="230"/>
      <c r="FD143" s="230"/>
      <c r="FE143" s="230"/>
      <c r="FF143" s="230"/>
      <c r="FG143" s="230"/>
      <c r="FH143" s="230"/>
      <c r="FI143" s="230"/>
      <c r="FJ143" s="230"/>
      <c r="FK143" s="230"/>
      <c r="FL143" s="230"/>
      <c r="FM143" s="230"/>
      <c r="FN143" s="230"/>
      <c r="FO143" s="230"/>
      <c r="FP143" s="230"/>
      <c r="FQ143" s="230"/>
      <c r="FR143" s="230"/>
      <c r="FS143" s="230"/>
      <c r="FT143" s="230"/>
      <c r="FU143" s="230"/>
      <c r="FV143" s="230"/>
      <c r="FW143" s="230"/>
      <c r="FX143" s="230"/>
      <c r="FY143" s="230"/>
      <c r="FZ143" s="230"/>
      <c r="GA143" s="230"/>
      <c r="GB143" s="230"/>
      <c r="GC143" s="230"/>
      <c r="GD143" s="230"/>
      <c r="GE143" s="230"/>
      <c r="GF143" s="230"/>
      <c r="GG143" s="230"/>
      <c r="GH143" s="230"/>
      <c r="GI143" s="230"/>
      <c r="GJ143" s="230"/>
      <c r="GK143" s="230"/>
      <c r="GL143" s="230"/>
      <c r="GM143" s="230"/>
      <c r="GN143" s="230"/>
      <c r="GO143" s="230"/>
      <c r="GP143" s="230"/>
      <c r="GQ143" s="230"/>
      <c r="GR143" s="230"/>
      <c r="GS143" s="230"/>
      <c r="GT143" s="230"/>
      <c r="GU143" s="230"/>
      <c r="GV143" s="230"/>
      <c r="GW143" s="230"/>
      <c r="GX143" s="230"/>
      <c r="GY143" s="230"/>
      <c r="GZ143" s="230"/>
      <c r="HA143" s="230"/>
      <c r="HB143" s="230"/>
      <c r="HC143" s="230"/>
      <c r="HD143" s="230"/>
      <c r="HE143" s="230"/>
      <c r="HF143" s="230"/>
      <c r="HG143" s="230"/>
      <c r="HH143" s="230"/>
      <c r="HI143" s="230"/>
      <c r="HJ143" s="230"/>
      <c r="HK143" s="230"/>
      <c r="HL143" s="230"/>
      <c r="HM143" s="230"/>
      <c r="HN143" s="230"/>
      <c r="HO143" s="230"/>
      <c r="HP143" s="230"/>
      <c r="HQ143" s="230"/>
      <c r="HR143" s="230"/>
      <c r="HS143" s="230"/>
      <c r="HT143" s="230"/>
      <c r="HU143" s="230"/>
      <c r="HV143" s="230"/>
      <c r="HW143" s="230"/>
      <c r="HX143" s="230"/>
      <c r="HY143" s="230"/>
      <c r="HZ143" s="230"/>
      <c r="IA143" s="230"/>
      <c r="IB143" s="230"/>
      <c r="IC143" s="230"/>
      <c r="ID143" s="230"/>
      <c r="IE143" s="230"/>
      <c r="IF143" s="230"/>
      <c r="IG143" s="230"/>
      <c r="IH143" s="230"/>
      <c r="II143" s="230"/>
      <c r="IJ143" s="230"/>
      <c r="IK143" s="230"/>
      <c r="IL143" s="230"/>
      <c r="IM143" s="230"/>
      <c r="IN143" s="230"/>
      <c r="IO143" s="230"/>
      <c r="IP143" s="230"/>
    </row>
    <row r="144" spans="1:251" s="73" customFormat="1">
      <c r="A144" s="193" t="s">
        <v>599</v>
      </c>
      <c r="B144" s="325"/>
      <c r="C144" s="193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230"/>
      <c r="AH144" s="230"/>
      <c r="AI144" s="230"/>
      <c r="AJ144" s="230"/>
      <c r="AK144" s="230"/>
      <c r="AL144" s="230"/>
      <c r="AM144" s="230"/>
      <c r="AN144" s="230"/>
      <c r="AO144" s="230"/>
      <c r="AP144" s="230"/>
      <c r="AQ144" s="230"/>
      <c r="AR144" s="230"/>
      <c r="AS144" s="230"/>
      <c r="AT144" s="230"/>
      <c r="AU144" s="230"/>
      <c r="AV144" s="230"/>
      <c r="AW144" s="230"/>
      <c r="AX144" s="230"/>
      <c r="AY144" s="230"/>
      <c r="AZ144" s="230"/>
      <c r="BA144" s="230"/>
      <c r="BB144" s="230"/>
      <c r="BC144" s="230"/>
      <c r="BD144" s="230"/>
      <c r="BE144" s="230"/>
      <c r="BF144" s="230"/>
      <c r="BG144" s="230"/>
      <c r="BH144" s="230"/>
      <c r="BI144" s="230"/>
      <c r="BJ144" s="230"/>
      <c r="BK144" s="230"/>
      <c r="BL144" s="230"/>
      <c r="BM144" s="230"/>
      <c r="BN144" s="230"/>
      <c r="BO144" s="230"/>
      <c r="BP144" s="230"/>
      <c r="BQ144" s="230"/>
      <c r="BR144" s="230"/>
      <c r="BS144" s="230"/>
      <c r="BT144" s="230"/>
      <c r="BU144" s="230"/>
      <c r="BV144" s="230"/>
      <c r="BW144" s="230"/>
      <c r="BX144" s="230"/>
      <c r="BY144" s="230"/>
      <c r="BZ144" s="230"/>
      <c r="CA144" s="230"/>
      <c r="CB144" s="230"/>
      <c r="CC144" s="230"/>
      <c r="CD144" s="230"/>
      <c r="CE144" s="230"/>
      <c r="CF144" s="230"/>
      <c r="CG144" s="230"/>
      <c r="CH144" s="230"/>
      <c r="CI144" s="230"/>
      <c r="CJ144" s="230"/>
      <c r="CK144" s="230"/>
      <c r="CL144" s="230"/>
      <c r="CM144" s="230"/>
      <c r="CN144" s="230"/>
      <c r="CO144" s="230"/>
      <c r="CP144" s="230"/>
      <c r="CQ144" s="230"/>
      <c r="CR144" s="230"/>
      <c r="CS144" s="230"/>
      <c r="CT144" s="230"/>
      <c r="CU144" s="230"/>
      <c r="CV144" s="230"/>
      <c r="CW144" s="230"/>
      <c r="CX144" s="230"/>
      <c r="CY144" s="230"/>
      <c r="CZ144" s="230"/>
      <c r="DA144" s="230"/>
      <c r="DB144" s="230"/>
      <c r="DC144" s="230"/>
      <c r="DD144" s="230"/>
      <c r="DE144" s="230"/>
      <c r="DF144" s="230"/>
      <c r="DG144" s="230"/>
      <c r="DH144" s="230"/>
      <c r="DI144" s="230"/>
      <c r="DJ144" s="230"/>
      <c r="DK144" s="230"/>
      <c r="DL144" s="230"/>
      <c r="DM144" s="230"/>
      <c r="DN144" s="230"/>
      <c r="DO144" s="230"/>
      <c r="DP144" s="230"/>
      <c r="DQ144" s="230"/>
      <c r="DR144" s="230"/>
      <c r="DS144" s="230"/>
      <c r="DT144" s="230"/>
      <c r="DU144" s="230"/>
      <c r="DV144" s="230"/>
      <c r="DW144" s="230"/>
      <c r="DX144" s="230"/>
      <c r="DY144" s="230"/>
      <c r="DZ144" s="230"/>
      <c r="EA144" s="230"/>
      <c r="EB144" s="230"/>
      <c r="EC144" s="230"/>
      <c r="ED144" s="230"/>
      <c r="EE144" s="230"/>
      <c r="EF144" s="230"/>
      <c r="EG144" s="230"/>
      <c r="EH144" s="230"/>
      <c r="EI144" s="230"/>
      <c r="EJ144" s="230"/>
      <c r="EK144" s="230"/>
      <c r="EL144" s="230"/>
      <c r="EM144" s="230"/>
      <c r="EN144" s="230"/>
      <c r="EO144" s="230"/>
      <c r="EP144" s="230"/>
      <c r="EQ144" s="230"/>
      <c r="ER144" s="230"/>
      <c r="ES144" s="230"/>
      <c r="ET144" s="230"/>
      <c r="EU144" s="230"/>
      <c r="EV144" s="230"/>
      <c r="EW144" s="230"/>
      <c r="EX144" s="230"/>
      <c r="EY144" s="230"/>
      <c r="EZ144" s="230"/>
      <c r="FA144" s="230"/>
      <c r="FB144" s="230"/>
      <c r="FC144" s="230"/>
      <c r="FD144" s="230"/>
      <c r="FE144" s="230"/>
      <c r="FF144" s="230"/>
      <c r="FG144" s="230"/>
      <c r="FH144" s="230"/>
      <c r="FI144" s="230"/>
      <c r="FJ144" s="230"/>
      <c r="FK144" s="230"/>
      <c r="FL144" s="230"/>
      <c r="FM144" s="230"/>
      <c r="FN144" s="230"/>
      <c r="FO144" s="230"/>
      <c r="FP144" s="230"/>
      <c r="FQ144" s="230"/>
      <c r="FR144" s="230"/>
      <c r="FS144" s="230"/>
      <c r="FT144" s="230"/>
      <c r="FU144" s="230"/>
      <c r="FV144" s="230"/>
      <c r="FW144" s="230"/>
      <c r="FX144" s="230"/>
      <c r="FY144" s="230"/>
      <c r="FZ144" s="230"/>
      <c r="GA144" s="230"/>
      <c r="GB144" s="230"/>
      <c r="GC144" s="230"/>
      <c r="GD144" s="230"/>
      <c r="GE144" s="230"/>
      <c r="GF144" s="230"/>
      <c r="GG144" s="230"/>
      <c r="GH144" s="230"/>
      <c r="GI144" s="230"/>
      <c r="GJ144" s="230"/>
      <c r="GK144" s="230"/>
      <c r="GL144" s="230"/>
      <c r="GM144" s="230"/>
      <c r="GN144" s="230"/>
      <c r="GO144" s="230"/>
      <c r="GP144" s="230"/>
      <c r="GQ144" s="230"/>
      <c r="GR144" s="230"/>
      <c r="GS144" s="230"/>
      <c r="GT144" s="230"/>
      <c r="GU144" s="230"/>
      <c r="GV144" s="230"/>
      <c r="GW144" s="230"/>
      <c r="GX144" s="230"/>
      <c r="GY144" s="230"/>
      <c r="GZ144" s="230"/>
      <c r="HA144" s="230"/>
      <c r="HB144" s="230"/>
      <c r="HC144" s="230"/>
      <c r="HD144" s="230"/>
      <c r="HE144" s="230"/>
      <c r="HF144" s="230"/>
      <c r="HG144" s="230"/>
      <c r="HH144" s="230"/>
      <c r="HI144" s="230"/>
      <c r="HJ144" s="230"/>
      <c r="HK144" s="230"/>
      <c r="HL144" s="230"/>
      <c r="HM144" s="230"/>
      <c r="HN144" s="230"/>
      <c r="HO144" s="230"/>
      <c r="HP144" s="230"/>
      <c r="HQ144" s="230"/>
      <c r="HR144" s="230"/>
      <c r="HS144" s="230"/>
      <c r="HT144" s="230"/>
      <c r="HU144" s="230"/>
      <c r="HV144" s="230"/>
      <c r="HW144" s="230"/>
      <c r="HX144" s="230"/>
      <c r="HY144" s="230"/>
      <c r="HZ144" s="230"/>
      <c r="IA144" s="230"/>
      <c r="IB144" s="230"/>
      <c r="IC144" s="230"/>
      <c r="ID144" s="230"/>
      <c r="IE144" s="230"/>
      <c r="IF144" s="230"/>
      <c r="IG144" s="230"/>
      <c r="IH144" s="230"/>
      <c r="II144" s="230"/>
      <c r="IJ144" s="230"/>
      <c r="IK144" s="230"/>
      <c r="IL144" s="230"/>
      <c r="IM144" s="230"/>
      <c r="IN144" s="230"/>
      <c r="IO144" s="230"/>
      <c r="IP144" s="230"/>
    </row>
    <row r="145" spans="1:250" s="73" customFormat="1">
      <c r="A145" s="193" t="s">
        <v>521</v>
      </c>
      <c r="B145" s="327">
        <f>959300/45797.5*B133*1.48</f>
        <v>29013.748077951852</v>
      </c>
      <c r="C145" s="193">
        <f>ROUND(B145/B133/12,2)</f>
        <v>2.58</v>
      </c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  <c r="AG145" s="230"/>
      <c r="AH145" s="230"/>
      <c r="AI145" s="230"/>
      <c r="AJ145" s="230"/>
      <c r="AK145" s="230"/>
      <c r="AL145" s="230"/>
      <c r="AM145" s="230"/>
      <c r="AN145" s="230"/>
      <c r="AO145" s="230"/>
      <c r="AP145" s="230"/>
      <c r="AQ145" s="230"/>
      <c r="AR145" s="230"/>
      <c r="AS145" s="230"/>
      <c r="AT145" s="230"/>
      <c r="AU145" s="230"/>
      <c r="AV145" s="230"/>
      <c r="AW145" s="230"/>
      <c r="AX145" s="230"/>
      <c r="AY145" s="230"/>
      <c r="AZ145" s="230"/>
      <c r="BA145" s="230"/>
      <c r="BB145" s="230"/>
      <c r="BC145" s="230"/>
      <c r="BD145" s="230"/>
      <c r="BE145" s="230"/>
      <c r="BF145" s="230"/>
      <c r="BG145" s="230"/>
      <c r="BH145" s="230"/>
      <c r="BI145" s="230"/>
      <c r="BJ145" s="230"/>
      <c r="BK145" s="230"/>
      <c r="BL145" s="230"/>
      <c r="BM145" s="230"/>
      <c r="BN145" s="230"/>
      <c r="BO145" s="230"/>
      <c r="BP145" s="230"/>
      <c r="BQ145" s="230"/>
      <c r="BR145" s="230"/>
      <c r="BS145" s="230"/>
      <c r="BT145" s="230"/>
      <c r="BU145" s="230"/>
      <c r="BV145" s="230"/>
      <c r="BW145" s="230"/>
      <c r="BX145" s="230"/>
      <c r="BY145" s="230"/>
      <c r="BZ145" s="230"/>
      <c r="CA145" s="230"/>
      <c r="CB145" s="230"/>
      <c r="CC145" s="230"/>
      <c r="CD145" s="230"/>
      <c r="CE145" s="230"/>
      <c r="CF145" s="230"/>
      <c r="CG145" s="230"/>
      <c r="CH145" s="230"/>
      <c r="CI145" s="230"/>
      <c r="CJ145" s="230"/>
      <c r="CK145" s="230"/>
      <c r="CL145" s="230"/>
      <c r="CM145" s="230"/>
      <c r="CN145" s="230"/>
      <c r="CO145" s="230"/>
      <c r="CP145" s="230"/>
      <c r="CQ145" s="230"/>
      <c r="CR145" s="230"/>
      <c r="CS145" s="230"/>
      <c r="CT145" s="230"/>
      <c r="CU145" s="230"/>
      <c r="CV145" s="230"/>
      <c r="CW145" s="230"/>
      <c r="CX145" s="230"/>
      <c r="CY145" s="230"/>
      <c r="CZ145" s="230"/>
      <c r="DA145" s="230"/>
      <c r="DB145" s="230"/>
      <c r="DC145" s="230"/>
      <c r="DD145" s="230"/>
      <c r="DE145" s="230"/>
      <c r="DF145" s="230"/>
      <c r="DG145" s="230"/>
      <c r="DH145" s="230"/>
      <c r="DI145" s="230"/>
      <c r="DJ145" s="230"/>
      <c r="DK145" s="230"/>
      <c r="DL145" s="230"/>
      <c r="DM145" s="230"/>
      <c r="DN145" s="230"/>
      <c r="DO145" s="230"/>
      <c r="DP145" s="230"/>
      <c r="DQ145" s="230"/>
      <c r="DR145" s="230"/>
      <c r="DS145" s="230"/>
      <c r="DT145" s="230"/>
      <c r="DU145" s="230"/>
      <c r="DV145" s="230"/>
      <c r="DW145" s="230"/>
      <c r="DX145" s="230"/>
      <c r="DY145" s="230"/>
      <c r="DZ145" s="230"/>
      <c r="EA145" s="230"/>
      <c r="EB145" s="230"/>
      <c r="EC145" s="230"/>
      <c r="ED145" s="230"/>
      <c r="EE145" s="230"/>
      <c r="EF145" s="230"/>
      <c r="EG145" s="230"/>
      <c r="EH145" s="230"/>
      <c r="EI145" s="230"/>
      <c r="EJ145" s="230"/>
      <c r="EK145" s="230"/>
      <c r="EL145" s="230"/>
      <c r="EM145" s="230"/>
      <c r="EN145" s="230"/>
      <c r="EO145" s="230"/>
      <c r="EP145" s="230"/>
      <c r="EQ145" s="230"/>
      <c r="ER145" s="230"/>
      <c r="ES145" s="230"/>
      <c r="ET145" s="230"/>
      <c r="EU145" s="230"/>
      <c r="EV145" s="230"/>
      <c r="EW145" s="230"/>
      <c r="EX145" s="230"/>
      <c r="EY145" s="230"/>
      <c r="EZ145" s="230"/>
      <c r="FA145" s="230"/>
      <c r="FB145" s="230"/>
      <c r="FC145" s="230"/>
      <c r="FD145" s="230"/>
      <c r="FE145" s="230"/>
      <c r="FF145" s="230"/>
      <c r="FG145" s="230"/>
      <c r="FH145" s="230"/>
      <c r="FI145" s="230"/>
      <c r="FJ145" s="230"/>
      <c r="FK145" s="230"/>
      <c r="FL145" s="230"/>
      <c r="FM145" s="230"/>
      <c r="FN145" s="230"/>
      <c r="FO145" s="230"/>
      <c r="FP145" s="230"/>
      <c r="FQ145" s="230"/>
      <c r="FR145" s="230"/>
      <c r="FS145" s="230"/>
      <c r="FT145" s="230"/>
      <c r="FU145" s="230"/>
      <c r="FV145" s="230"/>
      <c r="FW145" s="230"/>
      <c r="FX145" s="230"/>
      <c r="FY145" s="230"/>
      <c r="FZ145" s="230"/>
      <c r="GA145" s="230"/>
      <c r="GB145" s="230"/>
      <c r="GC145" s="230"/>
      <c r="GD145" s="230"/>
      <c r="GE145" s="230"/>
      <c r="GF145" s="230"/>
      <c r="GG145" s="230"/>
      <c r="GH145" s="230"/>
      <c r="GI145" s="230"/>
      <c r="GJ145" s="230"/>
      <c r="GK145" s="230"/>
      <c r="GL145" s="230"/>
      <c r="GM145" s="230"/>
      <c r="GN145" s="230"/>
      <c r="GO145" s="230"/>
      <c r="GP145" s="230"/>
      <c r="GQ145" s="230"/>
      <c r="GR145" s="230"/>
      <c r="GS145" s="230"/>
      <c r="GT145" s="230"/>
      <c r="GU145" s="230"/>
      <c r="GV145" s="230"/>
      <c r="GW145" s="230"/>
      <c r="GX145" s="230"/>
      <c r="GY145" s="230"/>
      <c r="GZ145" s="230"/>
      <c r="HA145" s="230"/>
      <c r="HB145" s="230"/>
      <c r="HC145" s="230"/>
      <c r="HD145" s="230"/>
      <c r="HE145" s="230"/>
      <c r="HF145" s="230"/>
      <c r="HG145" s="230"/>
      <c r="HH145" s="230"/>
      <c r="HI145" s="230"/>
      <c r="HJ145" s="230"/>
      <c r="HK145" s="230"/>
      <c r="HL145" s="230"/>
      <c r="HM145" s="230"/>
      <c r="HN145" s="230"/>
      <c r="HO145" s="230"/>
      <c r="HP145" s="230"/>
      <c r="HQ145" s="230"/>
      <c r="HR145" s="230"/>
      <c r="HS145" s="230"/>
      <c r="HT145" s="230"/>
      <c r="HU145" s="230"/>
      <c r="HV145" s="230"/>
      <c r="HW145" s="230"/>
      <c r="HX145" s="230"/>
      <c r="HY145" s="230"/>
      <c r="HZ145" s="230"/>
      <c r="IA145" s="230"/>
      <c r="IB145" s="230"/>
      <c r="IC145" s="230"/>
      <c r="ID145" s="230"/>
      <c r="IE145" s="230"/>
      <c r="IF145" s="230"/>
      <c r="IG145" s="230"/>
      <c r="IH145" s="230"/>
      <c r="II145" s="230"/>
      <c r="IJ145" s="230"/>
      <c r="IK145" s="230"/>
      <c r="IL145" s="230"/>
      <c r="IM145" s="230"/>
      <c r="IN145" s="230"/>
      <c r="IO145" s="230"/>
      <c r="IP145" s="230"/>
    </row>
    <row r="146" spans="1:250" s="73" customFormat="1">
      <c r="A146" s="193" t="s">
        <v>520</v>
      </c>
      <c r="B146" s="327">
        <f>0.89*B133*12*1.48</f>
        <v>14793.20976</v>
      </c>
      <c r="C146" s="193">
        <f>ROUND(B146/B133/12,2)</f>
        <v>1.32</v>
      </c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  <c r="AI146" s="230"/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0"/>
      <c r="AT146" s="230"/>
      <c r="AU146" s="230"/>
      <c r="AV146" s="230"/>
      <c r="AW146" s="230"/>
      <c r="AX146" s="230"/>
      <c r="AY146" s="230"/>
      <c r="AZ146" s="230"/>
      <c r="BA146" s="230"/>
      <c r="BB146" s="230"/>
      <c r="BC146" s="230"/>
      <c r="BD146" s="230"/>
      <c r="BE146" s="230"/>
      <c r="BF146" s="230"/>
      <c r="BG146" s="230"/>
      <c r="BH146" s="230"/>
      <c r="BI146" s="230"/>
      <c r="BJ146" s="230"/>
      <c r="BK146" s="230"/>
      <c r="BL146" s="230"/>
      <c r="BM146" s="230"/>
      <c r="BN146" s="230"/>
      <c r="BO146" s="230"/>
      <c r="BP146" s="230"/>
      <c r="BQ146" s="230"/>
      <c r="BR146" s="230"/>
      <c r="BS146" s="230"/>
      <c r="BT146" s="230"/>
      <c r="BU146" s="230"/>
      <c r="BV146" s="230"/>
      <c r="BW146" s="230"/>
      <c r="BX146" s="230"/>
      <c r="BY146" s="230"/>
      <c r="BZ146" s="230"/>
      <c r="CA146" s="230"/>
      <c r="CB146" s="230"/>
      <c r="CC146" s="230"/>
      <c r="CD146" s="230"/>
      <c r="CE146" s="230"/>
      <c r="CF146" s="230"/>
      <c r="CG146" s="230"/>
      <c r="CH146" s="230"/>
      <c r="CI146" s="230"/>
      <c r="CJ146" s="230"/>
      <c r="CK146" s="230"/>
      <c r="CL146" s="230"/>
      <c r="CM146" s="230"/>
      <c r="CN146" s="230"/>
      <c r="CO146" s="230"/>
      <c r="CP146" s="230"/>
      <c r="CQ146" s="230"/>
      <c r="CR146" s="230"/>
      <c r="CS146" s="230"/>
      <c r="CT146" s="230"/>
      <c r="CU146" s="230"/>
      <c r="CV146" s="230"/>
      <c r="CW146" s="230"/>
      <c r="CX146" s="230"/>
      <c r="CY146" s="230"/>
      <c r="CZ146" s="230"/>
      <c r="DA146" s="230"/>
      <c r="DB146" s="230"/>
      <c r="DC146" s="230"/>
      <c r="DD146" s="230"/>
      <c r="DE146" s="230"/>
      <c r="DF146" s="230"/>
      <c r="DG146" s="230"/>
      <c r="DH146" s="230"/>
      <c r="DI146" s="230"/>
      <c r="DJ146" s="230"/>
      <c r="DK146" s="230"/>
      <c r="DL146" s="230"/>
      <c r="DM146" s="230"/>
      <c r="DN146" s="230"/>
      <c r="DO146" s="230"/>
      <c r="DP146" s="230"/>
      <c r="DQ146" s="230"/>
      <c r="DR146" s="230"/>
      <c r="DS146" s="230"/>
      <c r="DT146" s="230"/>
      <c r="DU146" s="230"/>
      <c r="DV146" s="230"/>
      <c r="DW146" s="230"/>
      <c r="DX146" s="230"/>
      <c r="DY146" s="230"/>
      <c r="DZ146" s="230"/>
      <c r="EA146" s="230"/>
      <c r="EB146" s="230"/>
      <c r="EC146" s="230"/>
      <c r="ED146" s="230"/>
      <c r="EE146" s="230"/>
      <c r="EF146" s="230"/>
      <c r="EG146" s="230"/>
      <c r="EH146" s="230"/>
      <c r="EI146" s="230"/>
      <c r="EJ146" s="230"/>
      <c r="EK146" s="230"/>
      <c r="EL146" s="230"/>
      <c r="EM146" s="230"/>
      <c r="EN146" s="230"/>
      <c r="EO146" s="230"/>
      <c r="EP146" s="230"/>
      <c r="EQ146" s="230"/>
      <c r="ER146" s="230"/>
      <c r="ES146" s="230"/>
      <c r="ET146" s="230"/>
      <c r="EU146" s="230"/>
      <c r="EV146" s="230"/>
      <c r="EW146" s="230"/>
      <c r="EX146" s="230"/>
      <c r="EY146" s="230"/>
      <c r="EZ146" s="230"/>
      <c r="FA146" s="230"/>
      <c r="FB146" s="230"/>
      <c r="FC146" s="230"/>
      <c r="FD146" s="230"/>
      <c r="FE146" s="230"/>
      <c r="FF146" s="230"/>
      <c r="FG146" s="230"/>
      <c r="FH146" s="230"/>
      <c r="FI146" s="230"/>
      <c r="FJ146" s="230"/>
      <c r="FK146" s="230"/>
      <c r="FL146" s="230"/>
      <c r="FM146" s="230"/>
      <c r="FN146" s="230"/>
      <c r="FO146" s="230"/>
      <c r="FP146" s="230"/>
      <c r="FQ146" s="230"/>
      <c r="FR146" s="230"/>
      <c r="FS146" s="230"/>
      <c r="FT146" s="230"/>
      <c r="FU146" s="230"/>
      <c r="FV146" s="230"/>
      <c r="FW146" s="230"/>
      <c r="FX146" s="230"/>
      <c r="FY146" s="230"/>
      <c r="FZ146" s="230"/>
      <c r="GA146" s="230"/>
      <c r="GB146" s="230"/>
      <c r="GC146" s="230"/>
      <c r="GD146" s="230"/>
      <c r="GE146" s="230"/>
      <c r="GF146" s="230"/>
      <c r="GG146" s="230"/>
      <c r="GH146" s="230"/>
      <c r="GI146" s="230"/>
      <c r="GJ146" s="230"/>
      <c r="GK146" s="230"/>
      <c r="GL146" s="230"/>
      <c r="GM146" s="230"/>
      <c r="GN146" s="230"/>
      <c r="GO146" s="230"/>
      <c r="GP146" s="230"/>
      <c r="GQ146" s="230"/>
      <c r="GR146" s="230"/>
      <c r="GS146" s="230"/>
      <c r="GT146" s="230"/>
      <c r="GU146" s="230"/>
      <c r="GV146" s="230"/>
      <c r="GW146" s="230"/>
      <c r="GX146" s="230"/>
      <c r="GY146" s="230"/>
      <c r="GZ146" s="230"/>
      <c r="HA146" s="230"/>
      <c r="HB146" s="230"/>
      <c r="HC146" s="230"/>
      <c r="HD146" s="230"/>
      <c r="HE146" s="230"/>
      <c r="HF146" s="230"/>
      <c r="HG146" s="230"/>
      <c r="HH146" s="230"/>
      <c r="HI146" s="230"/>
      <c r="HJ146" s="230"/>
      <c r="HK146" s="230"/>
      <c r="HL146" s="230"/>
      <c r="HM146" s="230"/>
      <c r="HN146" s="230"/>
      <c r="HO146" s="230"/>
      <c r="HP146" s="230"/>
      <c r="HQ146" s="230"/>
      <c r="HR146" s="230"/>
      <c r="HS146" s="230"/>
      <c r="HT146" s="230"/>
      <c r="HU146" s="230"/>
      <c r="HV146" s="230"/>
      <c r="HW146" s="230"/>
      <c r="HX146" s="230"/>
      <c r="HY146" s="230"/>
      <c r="HZ146" s="230"/>
      <c r="IA146" s="230"/>
      <c r="IB146" s="230"/>
      <c r="IC146" s="230"/>
      <c r="ID146" s="230"/>
      <c r="IE146" s="230"/>
      <c r="IF146" s="230"/>
      <c r="IG146" s="230"/>
      <c r="IH146" s="230"/>
      <c r="II146" s="230"/>
      <c r="IJ146" s="230"/>
      <c r="IK146" s="230"/>
      <c r="IL146" s="230"/>
      <c r="IM146" s="230"/>
      <c r="IN146" s="230"/>
      <c r="IO146" s="230"/>
      <c r="IP146" s="230"/>
    </row>
    <row r="147" spans="1:250" s="73" customFormat="1">
      <c r="A147" s="193" t="s">
        <v>987</v>
      </c>
      <c r="B147" s="327">
        <f>107942.65/45797.5*B133*1.48</f>
        <v>3264.6938955139472</v>
      </c>
      <c r="C147" s="193">
        <f>ROUND(B147/B133/12,2)</f>
        <v>0.28999999999999998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230"/>
      <c r="AH147" s="230"/>
      <c r="AI147" s="230"/>
      <c r="AJ147" s="230"/>
      <c r="AK147" s="230"/>
      <c r="AL147" s="230"/>
      <c r="AM147" s="230"/>
      <c r="AN147" s="230"/>
      <c r="AO147" s="230"/>
      <c r="AP147" s="230"/>
      <c r="AQ147" s="230"/>
      <c r="AR147" s="230"/>
      <c r="AS147" s="230"/>
      <c r="AT147" s="230"/>
      <c r="AU147" s="230"/>
      <c r="AV147" s="230"/>
      <c r="AW147" s="230"/>
      <c r="AX147" s="230"/>
      <c r="AY147" s="230"/>
      <c r="AZ147" s="230"/>
      <c r="BA147" s="230"/>
      <c r="BB147" s="230"/>
      <c r="BC147" s="230"/>
      <c r="BD147" s="230"/>
      <c r="BE147" s="230"/>
      <c r="BF147" s="230"/>
      <c r="BG147" s="230"/>
      <c r="BH147" s="230"/>
      <c r="BI147" s="230"/>
      <c r="BJ147" s="230"/>
      <c r="BK147" s="230"/>
      <c r="BL147" s="230"/>
      <c r="BM147" s="230"/>
      <c r="BN147" s="230"/>
      <c r="BO147" s="230"/>
      <c r="BP147" s="230"/>
      <c r="BQ147" s="230"/>
      <c r="BR147" s="230"/>
      <c r="BS147" s="230"/>
      <c r="BT147" s="230"/>
      <c r="BU147" s="230"/>
      <c r="BV147" s="230"/>
      <c r="BW147" s="230"/>
      <c r="BX147" s="230"/>
      <c r="BY147" s="230"/>
      <c r="BZ147" s="230"/>
      <c r="CA147" s="230"/>
      <c r="CB147" s="230"/>
      <c r="CC147" s="230"/>
      <c r="CD147" s="230"/>
      <c r="CE147" s="230"/>
      <c r="CF147" s="230"/>
      <c r="CG147" s="230"/>
      <c r="CH147" s="230"/>
      <c r="CI147" s="230"/>
      <c r="CJ147" s="230"/>
      <c r="CK147" s="230"/>
      <c r="CL147" s="230"/>
      <c r="CM147" s="230"/>
      <c r="CN147" s="230"/>
      <c r="CO147" s="230"/>
      <c r="CP147" s="230"/>
      <c r="CQ147" s="230"/>
      <c r="CR147" s="230"/>
      <c r="CS147" s="230"/>
      <c r="CT147" s="230"/>
      <c r="CU147" s="230"/>
      <c r="CV147" s="230"/>
      <c r="CW147" s="230"/>
      <c r="CX147" s="230"/>
      <c r="CY147" s="230"/>
      <c r="CZ147" s="230"/>
      <c r="DA147" s="230"/>
      <c r="DB147" s="230"/>
      <c r="DC147" s="230"/>
      <c r="DD147" s="230"/>
      <c r="DE147" s="230"/>
      <c r="DF147" s="230"/>
      <c r="DG147" s="230"/>
      <c r="DH147" s="230"/>
      <c r="DI147" s="230"/>
      <c r="DJ147" s="230"/>
      <c r="DK147" s="230"/>
      <c r="DL147" s="230"/>
      <c r="DM147" s="230"/>
      <c r="DN147" s="230"/>
      <c r="DO147" s="230"/>
      <c r="DP147" s="230"/>
      <c r="DQ147" s="230"/>
      <c r="DR147" s="230"/>
      <c r="DS147" s="230"/>
      <c r="DT147" s="230"/>
      <c r="DU147" s="230"/>
      <c r="DV147" s="230"/>
      <c r="DW147" s="230"/>
      <c r="DX147" s="230"/>
      <c r="DY147" s="230"/>
      <c r="DZ147" s="230"/>
      <c r="EA147" s="230"/>
      <c r="EB147" s="230"/>
      <c r="EC147" s="230"/>
      <c r="ED147" s="230"/>
      <c r="EE147" s="230"/>
      <c r="EF147" s="230"/>
      <c r="EG147" s="230"/>
      <c r="EH147" s="230"/>
      <c r="EI147" s="230"/>
      <c r="EJ147" s="230"/>
      <c r="EK147" s="230"/>
      <c r="EL147" s="230"/>
      <c r="EM147" s="230"/>
      <c r="EN147" s="230"/>
      <c r="EO147" s="230"/>
      <c r="EP147" s="230"/>
      <c r="EQ147" s="230"/>
      <c r="ER147" s="230"/>
      <c r="ES147" s="230"/>
      <c r="ET147" s="230"/>
      <c r="EU147" s="230"/>
      <c r="EV147" s="230"/>
      <c r="EW147" s="230"/>
      <c r="EX147" s="230"/>
      <c r="EY147" s="230"/>
      <c r="EZ147" s="230"/>
      <c r="FA147" s="230"/>
      <c r="FB147" s="230"/>
      <c r="FC147" s="230"/>
      <c r="FD147" s="230"/>
      <c r="FE147" s="230"/>
      <c r="FF147" s="230"/>
      <c r="FG147" s="230"/>
      <c r="FH147" s="230"/>
      <c r="FI147" s="230"/>
      <c r="FJ147" s="230"/>
      <c r="FK147" s="230"/>
      <c r="FL147" s="230"/>
      <c r="FM147" s="230"/>
      <c r="FN147" s="230"/>
      <c r="FO147" s="230"/>
      <c r="FP147" s="230"/>
      <c r="FQ147" s="230"/>
      <c r="FR147" s="230"/>
      <c r="FS147" s="230"/>
      <c r="FT147" s="230"/>
      <c r="FU147" s="230"/>
      <c r="FV147" s="230"/>
      <c r="FW147" s="230"/>
      <c r="FX147" s="230"/>
      <c r="FY147" s="230"/>
      <c r="FZ147" s="230"/>
      <c r="GA147" s="230"/>
      <c r="GB147" s="230"/>
      <c r="GC147" s="230"/>
      <c r="GD147" s="230"/>
      <c r="GE147" s="230"/>
      <c r="GF147" s="230"/>
      <c r="GG147" s="230"/>
      <c r="GH147" s="230"/>
      <c r="GI147" s="230"/>
      <c r="GJ147" s="230"/>
      <c r="GK147" s="230"/>
      <c r="GL147" s="230"/>
      <c r="GM147" s="230"/>
      <c r="GN147" s="230"/>
      <c r="GO147" s="230"/>
      <c r="GP147" s="230"/>
      <c r="GQ147" s="230"/>
      <c r="GR147" s="230"/>
      <c r="GS147" s="230"/>
      <c r="GT147" s="230"/>
      <c r="GU147" s="230"/>
      <c r="GV147" s="230"/>
      <c r="GW147" s="230"/>
      <c r="GX147" s="230"/>
      <c r="GY147" s="230"/>
      <c r="GZ147" s="230"/>
      <c r="HA147" s="230"/>
      <c r="HB147" s="230"/>
      <c r="HC147" s="230"/>
      <c r="HD147" s="230"/>
      <c r="HE147" s="230"/>
      <c r="HF147" s="230"/>
      <c r="HG147" s="230"/>
      <c r="HH147" s="230"/>
      <c r="HI147" s="230"/>
      <c r="HJ147" s="230"/>
      <c r="HK147" s="230"/>
      <c r="HL147" s="230"/>
      <c r="HM147" s="230"/>
      <c r="HN147" s="230"/>
      <c r="HO147" s="230"/>
      <c r="HP147" s="230"/>
      <c r="HQ147" s="230"/>
      <c r="HR147" s="230"/>
      <c r="HS147" s="230"/>
      <c r="HT147" s="230"/>
      <c r="HU147" s="230"/>
      <c r="HV147" s="230"/>
      <c r="HW147" s="230"/>
      <c r="HX147" s="230"/>
      <c r="HY147" s="230"/>
      <c r="HZ147" s="230"/>
      <c r="IA147" s="230"/>
      <c r="IB147" s="230"/>
      <c r="IC147" s="230"/>
      <c r="ID147" s="230"/>
      <c r="IE147" s="230"/>
      <c r="IF147" s="230"/>
      <c r="IG147" s="230"/>
      <c r="IH147" s="230"/>
      <c r="II147" s="230"/>
      <c r="IJ147" s="230"/>
      <c r="IK147" s="230"/>
      <c r="IL147" s="230"/>
      <c r="IM147" s="230"/>
      <c r="IN147" s="230"/>
      <c r="IO147" s="230"/>
      <c r="IP147" s="230"/>
    </row>
    <row r="148" spans="1:250" s="73" customFormat="1">
      <c r="A148" s="193" t="s">
        <v>600</v>
      </c>
      <c r="B148" s="327">
        <f>120*70</f>
        <v>8400</v>
      </c>
      <c r="C148" s="193">
        <f>ROUND(B148/B133/12,2)</f>
        <v>0.75</v>
      </c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230"/>
      <c r="AH148" s="230"/>
      <c r="AI148" s="230"/>
      <c r="AJ148" s="230"/>
      <c r="AK148" s="230"/>
      <c r="AL148" s="230"/>
      <c r="AM148" s="230"/>
      <c r="AN148" s="230"/>
      <c r="AO148" s="230"/>
      <c r="AP148" s="230"/>
      <c r="AQ148" s="230"/>
      <c r="AR148" s="230"/>
      <c r="AS148" s="230"/>
      <c r="AT148" s="230"/>
      <c r="AU148" s="230"/>
      <c r="AV148" s="230"/>
      <c r="AW148" s="230"/>
      <c r="AX148" s="230"/>
      <c r="AY148" s="230"/>
      <c r="AZ148" s="230"/>
      <c r="BA148" s="230"/>
      <c r="BB148" s="230"/>
      <c r="BC148" s="230"/>
      <c r="BD148" s="230"/>
      <c r="BE148" s="230"/>
      <c r="BF148" s="230"/>
      <c r="BG148" s="230"/>
      <c r="BH148" s="230"/>
      <c r="BI148" s="230"/>
      <c r="BJ148" s="230"/>
      <c r="BK148" s="230"/>
      <c r="BL148" s="230"/>
      <c r="BM148" s="230"/>
      <c r="BN148" s="230"/>
      <c r="BO148" s="230"/>
      <c r="BP148" s="230"/>
      <c r="BQ148" s="230"/>
      <c r="BR148" s="230"/>
      <c r="BS148" s="230"/>
      <c r="BT148" s="230"/>
      <c r="BU148" s="230"/>
      <c r="BV148" s="230"/>
      <c r="BW148" s="230"/>
      <c r="BX148" s="230"/>
      <c r="BY148" s="230"/>
      <c r="BZ148" s="230"/>
      <c r="CA148" s="230"/>
      <c r="CB148" s="230"/>
      <c r="CC148" s="230"/>
      <c r="CD148" s="230"/>
      <c r="CE148" s="230"/>
      <c r="CF148" s="230"/>
      <c r="CG148" s="230"/>
      <c r="CH148" s="230"/>
      <c r="CI148" s="230"/>
      <c r="CJ148" s="230"/>
      <c r="CK148" s="230"/>
      <c r="CL148" s="230"/>
      <c r="CM148" s="230"/>
      <c r="CN148" s="230"/>
      <c r="CO148" s="230"/>
      <c r="CP148" s="230"/>
      <c r="CQ148" s="230"/>
      <c r="CR148" s="230"/>
      <c r="CS148" s="230"/>
      <c r="CT148" s="230"/>
      <c r="CU148" s="230"/>
      <c r="CV148" s="230"/>
      <c r="CW148" s="230"/>
      <c r="CX148" s="230"/>
      <c r="CY148" s="230"/>
      <c r="CZ148" s="230"/>
      <c r="DA148" s="230"/>
      <c r="DB148" s="230"/>
      <c r="DC148" s="230"/>
      <c r="DD148" s="230"/>
      <c r="DE148" s="230"/>
      <c r="DF148" s="230"/>
      <c r="DG148" s="230"/>
      <c r="DH148" s="230"/>
      <c r="DI148" s="230"/>
      <c r="DJ148" s="230"/>
      <c r="DK148" s="230"/>
      <c r="DL148" s="230"/>
      <c r="DM148" s="230"/>
      <c r="DN148" s="230"/>
      <c r="DO148" s="230"/>
      <c r="DP148" s="230"/>
      <c r="DQ148" s="230"/>
      <c r="DR148" s="230"/>
      <c r="DS148" s="230"/>
      <c r="DT148" s="230"/>
      <c r="DU148" s="230"/>
      <c r="DV148" s="230"/>
      <c r="DW148" s="230"/>
      <c r="DX148" s="230"/>
      <c r="DY148" s="230"/>
      <c r="DZ148" s="230"/>
      <c r="EA148" s="230"/>
      <c r="EB148" s="230"/>
      <c r="EC148" s="230"/>
      <c r="ED148" s="230"/>
      <c r="EE148" s="230"/>
      <c r="EF148" s="230"/>
      <c r="EG148" s="230"/>
      <c r="EH148" s="230"/>
      <c r="EI148" s="230"/>
      <c r="EJ148" s="230"/>
      <c r="EK148" s="230"/>
      <c r="EL148" s="230"/>
      <c r="EM148" s="230"/>
      <c r="EN148" s="230"/>
      <c r="EO148" s="230"/>
      <c r="EP148" s="230"/>
      <c r="EQ148" s="230"/>
      <c r="ER148" s="230"/>
      <c r="ES148" s="230"/>
      <c r="ET148" s="230"/>
      <c r="EU148" s="230"/>
      <c r="EV148" s="230"/>
      <c r="EW148" s="230"/>
      <c r="EX148" s="230"/>
      <c r="EY148" s="230"/>
      <c r="EZ148" s="230"/>
      <c r="FA148" s="230"/>
      <c r="FB148" s="230"/>
      <c r="FC148" s="230"/>
      <c r="FD148" s="230"/>
      <c r="FE148" s="230"/>
      <c r="FF148" s="230"/>
      <c r="FG148" s="230"/>
      <c r="FH148" s="230"/>
      <c r="FI148" s="230"/>
      <c r="FJ148" s="230"/>
      <c r="FK148" s="230"/>
      <c r="FL148" s="230"/>
      <c r="FM148" s="230"/>
      <c r="FN148" s="230"/>
      <c r="FO148" s="230"/>
      <c r="FP148" s="230"/>
      <c r="FQ148" s="230"/>
      <c r="FR148" s="230"/>
      <c r="FS148" s="230"/>
      <c r="FT148" s="230"/>
      <c r="FU148" s="230"/>
      <c r="FV148" s="230"/>
      <c r="FW148" s="230"/>
      <c r="FX148" s="230"/>
      <c r="FY148" s="230"/>
      <c r="FZ148" s="230"/>
      <c r="GA148" s="230"/>
      <c r="GB148" s="230"/>
      <c r="GC148" s="230"/>
      <c r="GD148" s="230"/>
      <c r="GE148" s="230"/>
      <c r="GF148" s="230"/>
      <c r="GG148" s="230"/>
      <c r="GH148" s="230"/>
      <c r="GI148" s="230"/>
      <c r="GJ148" s="230"/>
      <c r="GK148" s="230"/>
      <c r="GL148" s="230"/>
      <c r="GM148" s="230"/>
      <c r="GN148" s="230"/>
      <c r="GO148" s="230"/>
      <c r="GP148" s="230"/>
      <c r="GQ148" s="230"/>
      <c r="GR148" s="230"/>
      <c r="GS148" s="230"/>
      <c r="GT148" s="230"/>
      <c r="GU148" s="230"/>
      <c r="GV148" s="230"/>
      <c r="GW148" s="230"/>
      <c r="GX148" s="230"/>
      <c r="GY148" s="230"/>
      <c r="GZ148" s="230"/>
      <c r="HA148" s="230"/>
      <c r="HB148" s="230"/>
      <c r="HC148" s="230"/>
      <c r="HD148" s="230"/>
      <c r="HE148" s="230"/>
      <c r="HF148" s="230"/>
      <c r="HG148" s="230"/>
      <c r="HH148" s="230"/>
      <c r="HI148" s="230"/>
      <c r="HJ148" s="230"/>
      <c r="HK148" s="230"/>
      <c r="HL148" s="230"/>
      <c r="HM148" s="230"/>
      <c r="HN148" s="230"/>
      <c r="HO148" s="230"/>
      <c r="HP148" s="230"/>
      <c r="HQ148" s="230"/>
      <c r="HR148" s="230"/>
      <c r="HS148" s="230"/>
      <c r="HT148" s="230"/>
      <c r="HU148" s="230"/>
      <c r="HV148" s="230"/>
      <c r="HW148" s="230"/>
      <c r="HX148" s="230"/>
      <c r="HY148" s="230"/>
      <c r="HZ148" s="230"/>
      <c r="IA148" s="230"/>
      <c r="IB148" s="230"/>
      <c r="IC148" s="230"/>
      <c r="ID148" s="230"/>
      <c r="IE148" s="230"/>
      <c r="IF148" s="230"/>
      <c r="IG148" s="230"/>
      <c r="IH148" s="230"/>
      <c r="II148" s="230"/>
      <c r="IJ148" s="230"/>
      <c r="IK148" s="230"/>
      <c r="IL148" s="230"/>
      <c r="IM148" s="230"/>
      <c r="IN148" s="230"/>
      <c r="IO148" s="230"/>
      <c r="IP148" s="230"/>
    </row>
    <row r="149" spans="1:250" s="73" customFormat="1">
      <c r="A149" s="193" t="s">
        <v>611</v>
      </c>
      <c r="B149" s="327">
        <f>0.01*9100*12*1.302*1.48</f>
        <v>2104.2403200000003</v>
      </c>
      <c r="C149" s="193">
        <f>ROUND(B149/B133/12,2)</f>
        <v>0.19</v>
      </c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230"/>
      <c r="AX149" s="230"/>
      <c r="AY149" s="230"/>
      <c r="AZ149" s="230"/>
      <c r="BA149" s="230"/>
      <c r="BB149" s="230"/>
      <c r="BC149" s="230"/>
      <c r="BD149" s="230"/>
      <c r="BE149" s="230"/>
      <c r="BF149" s="230"/>
      <c r="BG149" s="230"/>
      <c r="BH149" s="230"/>
      <c r="BI149" s="230"/>
      <c r="BJ149" s="230"/>
      <c r="BK149" s="230"/>
      <c r="BL149" s="230"/>
      <c r="BM149" s="230"/>
      <c r="BN149" s="230"/>
      <c r="BO149" s="230"/>
      <c r="BP149" s="230"/>
      <c r="BQ149" s="230"/>
      <c r="BR149" s="230"/>
      <c r="BS149" s="230"/>
      <c r="BT149" s="230"/>
      <c r="BU149" s="230"/>
      <c r="BV149" s="230"/>
      <c r="BW149" s="230"/>
      <c r="BX149" s="230"/>
      <c r="BY149" s="230"/>
      <c r="BZ149" s="230"/>
      <c r="CA149" s="230"/>
      <c r="CB149" s="230"/>
      <c r="CC149" s="230"/>
      <c r="CD149" s="230"/>
      <c r="CE149" s="230"/>
      <c r="CF149" s="230"/>
      <c r="CG149" s="230"/>
      <c r="CH149" s="230"/>
      <c r="CI149" s="230"/>
      <c r="CJ149" s="230"/>
      <c r="CK149" s="230"/>
      <c r="CL149" s="230"/>
      <c r="CM149" s="230"/>
      <c r="CN149" s="230"/>
      <c r="CO149" s="230"/>
      <c r="CP149" s="230"/>
      <c r="CQ149" s="230"/>
      <c r="CR149" s="230"/>
      <c r="CS149" s="230"/>
      <c r="CT149" s="230"/>
      <c r="CU149" s="230"/>
      <c r="CV149" s="230"/>
      <c r="CW149" s="230"/>
      <c r="CX149" s="230"/>
      <c r="CY149" s="230"/>
      <c r="CZ149" s="230"/>
      <c r="DA149" s="230"/>
      <c r="DB149" s="230"/>
      <c r="DC149" s="230"/>
      <c r="DD149" s="230"/>
      <c r="DE149" s="230"/>
      <c r="DF149" s="230"/>
      <c r="DG149" s="230"/>
      <c r="DH149" s="230"/>
      <c r="DI149" s="230"/>
      <c r="DJ149" s="230"/>
      <c r="DK149" s="230"/>
      <c r="DL149" s="230"/>
      <c r="DM149" s="230"/>
      <c r="DN149" s="230"/>
      <c r="DO149" s="230"/>
      <c r="DP149" s="230"/>
      <c r="DQ149" s="230"/>
      <c r="DR149" s="230"/>
      <c r="DS149" s="230"/>
      <c r="DT149" s="230"/>
      <c r="DU149" s="230"/>
      <c r="DV149" s="230"/>
      <c r="DW149" s="230"/>
      <c r="DX149" s="230"/>
      <c r="DY149" s="230"/>
      <c r="DZ149" s="230"/>
      <c r="EA149" s="230"/>
      <c r="EB149" s="230"/>
      <c r="EC149" s="230"/>
      <c r="ED149" s="230"/>
      <c r="EE149" s="230"/>
      <c r="EF149" s="230"/>
      <c r="EG149" s="230"/>
      <c r="EH149" s="230"/>
      <c r="EI149" s="230"/>
      <c r="EJ149" s="230"/>
      <c r="EK149" s="230"/>
      <c r="EL149" s="230"/>
      <c r="EM149" s="230"/>
      <c r="EN149" s="230"/>
      <c r="EO149" s="230"/>
      <c r="EP149" s="230"/>
      <c r="EQ149" s="230"/>
      <c r="ER149" s="230"/>
      <c r="ES149" s="230"/>
      <c r="ET149" s="230"/>
      <c r="EU149" s="230"/>
      <c r="EV149" s="230"/>
      <c r="EW149" s="230"/>
      <c r="EX149" s="230"/>
      <c r="EY149" s="230"/>
      <c r="EZ149" s="230"/>
      <c r="FA149" s="230"/>
      <c r="FB149" s="230"/>
      <c r="FC149" s="230"/>
      <c r="FD149" s="230"/>
      <c r="FE149" s="230"/>
      <c r="FF149" s="230"/>
      <c r="FG149" s="230"/>
      <c r="FH149" s="230"/>
      <c r="FI149" s="230"/>
      <c r="FJ149" s="230"/>
      <c r="FK149" s="230"/>
      <c r="FL149" s="230"/>
      <c r="FM149" s="230"/>
      <c r="FN149" s="230"/>
      <c r="FO149" s="230"/>
      <c r="FP149" s="230"/>
      <c r="FQ149" s="230"/>
      <c r="FR149" s="230"/>
      <c r="FS149" s="230"/>
      <c r="FT149" s="230"/>
      <c r="FU149" s="230"/>
      <c r="FV149" s="230"/>
      <c r="FW149" s="230"/>
      <c r="FX149" s="230"/>
      <c r="FY149" s="230"/>
      <c r="FZ149" s="230"/>
      <c r="GA149" s="230"/>
      <c r="GB149" s="230"/>
      <c r="GC149" s="230"/>
      <c r="GD149" s="230"/>
      <c r="GE149" s="230"/>
      <c r="GF149" s="230"/>
      <c r="GG149" s="230"/>
      <c r="GH149" s="230"/>
      <c r="GI149" s="230"/>
      <c r="GJ149" s="230"/>
      <c r="GK149" s="230"/>
      <c r="GL149" s="230"/>
      <c r="GM149" s="230"/>
      <c r="GN149" s="230"/>
      <c r="GO149" s="230"/>
      <c r="GP149" s="230"/>
      <c r="GQ149" s="230"/>
      <c r="GR149" s="230"/>
      <c r="GS149" s="230"/>
      <c r="GT149" s="230"/>
      <c r="GU149" s="230"/>
      <c r="GV149" s="230"/>
      <c r="GW149" s="230"/>
      <c r="GX149" s="230"/>
      <c r="GY149" s="230"/>
      <c r="GZ149" s="230"/>
      <c r="HA149" s="230"/>
      <c r="HB149" s="230"/>
      <c r="HC149" s="230"/>
      <c r="HD149" s="230"/>
      <c r="HE149" s="230"/>
      <c r="HF149" s="230"/>
      <c r="HG149" s="230"/>
      <c r="HH149" s="230"/>
      <c r="HI149" s="230"/>
      <c r="HJ149" s="230"/>
      <c r="HK149" s="230"/>
      <c r="HL149" s="230"/>
      <c r="HM149" s="230"/>
      <c r="HN149" s="230"/>
      <c r="HO149" s="230"/>
      <c r="HP149" s="230"/>
      <c r="HQ149" s="230"/>
      <c r="HR149" s="230"/>
      <c r="HS149" s="230"/>
      <c r="HT149" s="230"/>
      <c r="HU149" s="230"/>
      <c r="HV149" s="230"/>
      <c r="HW149" s="230"/>
      <c r="HX149" s="230"/>
      <c r="HY149" s="230"/>
      <c r="HZ149" s="230"/>
      <c r="IA149" s="230"/>
      <c r="IB149" s="230"/>
      <c r="IC149" s="230"/>
      <c r="ID149" s="230"/>
      <c r="IE149" s="230"/>
      <c r="IF149" s="230"/>
      <c r="IG149" s="230"/>
      <c r="IH149" s="230"/>
      <c r="II149" s="230"/>
      <c r="IJ149" s="230"/>
      <c r="IK149" s="230"/>
      <c r="IL149" s="230"/>
      <c r="IM149" s="230"/>
      <c r="IN149" s="230"/>
      <c r="IO149" s="230"/>
      <c r="IP149" s="230"/>
    </row>
    <row r="150" spans="1:250" s="73" customFormat="1">
      <c r="A150" s="193" t="s">
        <v>602</v>
      </c>
      <c r="B150" s="327">
        <f>B129</f>
        <v>430.5</v>
      </c>
      <c r="C150" s="193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  <c r="AG150" s="230"/>
      <c r="AH150" s="230"/>
      <c r="AI150" s="230"/>
      <c r="AJ150" s="230"/>
      <c r="AK150" s="230"/>
      <c r="AL150" s="230"/>
      <c r="AM150" s="230"/>
      <c r="AN150" s="230"/>
      <c r="AO150" s="230"/>
      <c r="AP150" s="230"/>
      <c r="AQ150" s="230"/>
      <c r="AR150" s="230"/>
      <c r="AS150" s="230"/>
      <c r="AT150" s="230"/>
      <c r="AU150" s="230"/>
      <c r="AV150" s="230"/>
      <c r="AW150" s="230"/>
      <c r="AX150" s="230"/>
      <c r="AY150" s="230"/>
      <c r="AZ150" s="230"/>
      <c r="BA150" s="230"/>
      <c r="BB150" s="230"/>
      <c r="BC150" s="230"/>
      <c r="BD150" s="230"/>
      <c r="BE150" s="230"/>
      <c r="BF150" s="230"/>
      <c r="BG150" s="230"/>
      <c r="BH150" s="230"/>
      <c r="BI150" s="230"/>
      <c r="BJ150" s="230"/>
      <c r="BK150" s="230"/>
      <c r="BL150" s="230"/>
      <c r="BM150" s="230"/>
      <c r="BN150" s="230"/>
      <c r="BO150" s="230"/>
      <c r="BP150" s="230"/>
      <c r="BQ150" s="230"/>
      <c r="BR150" s="230"/>
      <c r="BS150" s="230"/>
      <c r="BT150" s="230"/>
      <c r="BU150" s="230"/>
      <c r="BV150" s="230"/>
      <c r="BW150" s="230"/>
      <c r="BX150" s="230"/>
      <c r="BY150" s="230"/>
      <c r="BZ150" s="230"/>
      <c r="CA150" s="230"/>
      <c r="CB150" s="230"/>
      <c r="CC150" s="230"/>
      <c r="CD150" s="230"/>
      <c r="CE150" s="230"/>
      <c r="CF150" s="230"/>
      <c r="CG150" s="230"/>
      <c r="CH150" s="230"/>
      <c r="CI150" s="230"/>
      <c r="CJ150" s="230"/>
      <c r="CK150" s="230"/>
      <c r="CL150" s="230"/>
      <c r="CM150" s="230"/>
      <c r="CN150" s="230"/>
      <c r="CO150" s="230"/>
      <c r="CP150" s="230"/>
      <c r="CQ150" s="230"/>
      <c r="CR150" s="230"/>
      <c r="CS150" s="230"/>
      <c r="CT150" s="230"/>
      <c r="CU150" s="230"/>
      <c r="CV150" s="230"/>
      <c r="CW150" s="230"/>
      <c r="CX150" s="230"/>
      <c r="CY150" s="230"/>
      <c r="CZ150" s="230"/>
      <c r="DA150" s="230"/>
      <c r="DB150" s="230"/>
      <c r="DC150" s="230"/>
      <c r="DD150" s="230"/>
      <c r="DE150" s="230"/>
      <c r="DF150" s="230"/>
      <c r="DG150" s="230"/>
      <c r="DH150" s="230"/>
      <c r="DI150" s="230"/>
      <c r="DJ150" s="230"/>
      <c r="DK150" s="230"/>
      <c r="DL150" s="230"/>
      <c r="DM150" s="230"/>
      <c r="DN150" s="230"/>
      <c r="DO150" s="230"/>
      <c r="DP150" s="230"/>
      <c r="DQ150" s="230"/>
      <c r="DR150" s="230"/>
      <c r="DS150" s="230"/>
      <c r="DT150" s="230"/>
      <c r="DU150" s="230"/>
      <c r="DV150" s="230"/>
      <c r="DW150" s="230"/>
      <c r="DX150" s="230"/>
      <c r="DY150" s="230"/>
      <c r="DZ150" s="230"/>
      <c r="EA150" s="230"/>
      <c r="EB150" s="230"/>
      <c r="EC150" s="230"/>
      <c r="ED150" s="230"/>
      <c r="EE150" s="230"/>
      <c r="EF150" s="230"/>
      <c r="EG150" s="230"/>
      <c r="EH150" s="230"/>
      <c r="EI150" s="230"/>
      <c r="EJ150" s="230"/>
      <c r="EK150" s="230"/>
      <c r="EL150" s="230"/>
      <c r="EM150" s="230"/>
      <c r="EN150" s="230"/>
      <c r="EO150" s="230"/>
      <c r="EP150" s="230"/>
      <c r="EQ150" s="230"/>
      <c r="ER150" s="230"/>
      <c r="ES150" s="230"/>
      <c r="ET150" s="230"/>
      <c r="EU150" s="230"/>
      <c r="EV150" s="230"/>
      <c r="EW150" s="230"/>
      <c r="EX150" s="230"/>
      <c r="EY150" s="230"/>
      <c r="EZ150" s="230"/>
      <c r="FA150" s="230"/>
      <c r="FB150" s="230"/>
      <c r="FC150" s="230"/>
      <c r="FD150" s="230"/>
      <c r="FE150" s="230"/>
      <c r="FF150" s="230"/>
      <c r="FG150" s="230"/>
      <c r="FH150" s="230"/>
      <c r="FI150" s="230"/>
      <c r="FJ150" s="230"/>
      <c r="FK150" s="230"/>
      <c r="FL150" s="230"/>
      <c r="FM150" s="230"/>
      <c r="FN150" s="230"/>
      <c r="FO150" s="230"/>
      <c r="FP150" s="230"/>
      <c r="FQ150" s="230"/>
      <c r="FR150" s="230"/>
      <c r="FS150" s="230"/>
      <c r="FT150" s="230"/>
      <c r="FU150" s="230"/>
      <c r="FV150" s="230"/>
      <c r="FW150" s="230"/>
      <c r="FX150" s="230"/>
      <c r="FY150" s="230"/>
      <c r="FZ150" s="230"/>
      <c r="GA150" s="230"/>
      <c r="GB150" s="230"/>
      <c r="GC150" s="230"/>
      <c r="GD150" s="230"/>
      <c r="GE150" s="230"/>
      <c r="GF150" s="230"/>
      <c r="GG150" s="230"/>
      <c r="GH150" s="230"/>
      <c r="GI150" s="230"/>
      <c r="GJ150" s="230"/>
      <c r="GK150" s="230"/>
      <c r="GL150" s="230"/>
      <c r="GM150" s="230"/>
      <c r="GN150" s="230"/>
      <c r="GO150" s="230"/>
      <c r="GP150" s="230"/>
      <c r="GQ150" s="230"/>
      <c r="GR150" s="230"/>
      <c r="GS150" s="230"/>
      <c r="GT150" s="230"/>
      <c r="GU150" s="230"/>
      <c r="GV150" s="230"/>
      <c r="GW150" s="230"/>
      <c r="GX150" s="230"/>
      <c r="GY150" s="230"/>
      <c r="GZ150" s="230"/>
      <c r="HA150" s="230"/>
      <c r="HB150" s="230"/>
      <c r="HC150" s="230"/>
      <c r="HD150" s="230"/>
      <c r="HE150" s="230"/>
      <c r="HF150" s="230"/>
      <c r="HG150" s="230"/>
      <c r="HH150" s="230"/>
      <c r="HI150" s="230"/>
      <c r="HJ150" s="230"/>
      <c r="HK150" s="230"/>
      <c r="HL150" s="230"/>
      <c r="HM150" s="230"/>
      <c r="HN150" s="230"/>
      <c r="HO150" s="230"/>
      <c r="HP150" s="230"/>
      <c r="HQ150" s="230"/>
      <c r="HR150" s="230"/>
      <c r="HS150" s="230"/>
      <c r="HT150" s="230"/>
      <c r="HU150" s="230"/>
      <c r="HV150" s="230"/>
      <c r="HW150" s="230"/>
      <c r="HX150" s="230"/>
      <c r="HY150" s="230"/>
      <c r="HZ150" s="230"/>
      <c r="IA150" s="230"/>
      <c r="IB150" s="230"/>
      <c r="IC150" s="230"/>
      <c r="ID150" s="230"/>
      <c r="IE150" s="230"/>
      <c r="IF150" s="230"/>
      <c r="IG150" s="230"/>
      <c r="IH150" s="230"/>
      <c r="II150" s="230"/>
      <c r="IJ150" s="230"/>
      <c r="IK150" s="230"/>
      <c r="IL150" s="230"/>
      <c r="IM150" s="230"/>
      <c r="IN150" s="230"/>
      <c r="IO150" s="230"/>
      <c r="IP150" s="230"/>
    </row>
    <row r="151" spans="1:250" s="73" customFormat="1">
      <c r="A151" s="193" t="s">
        <v>603</v>
      </c>
      <c r="B151" s="327">
        <f>B150*110*1.302*1.48</f>
        <v>91251.190799999997</v>
      </c>
      <c r="C151" s="193">
        <f>ROUND(B151/B133/12,2)</f>
        <v>8.1300000000000008</v>
      </c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  <c r="AG151" s="230"/>
      <c r="AH151" s="230"/>
      <c r="AI151" s="230"/>
      <c r="AJ151" s="230"/>
      <c r="AK151" s="230"/>
      <c r="AL151" s="230"/>
      <c r="AM151" s="230"/>
      <c r="AN151" s="230"/>
      <c r="AO151" s="230"/>
      <c r="AP151" s="230"/>
      <c r="AQ151" s="230"/>
      <c r="AR151" s="230"/>
      <c r="AS151" s="230"/>
      <c r="AT151" s="230"/>
      <c r="AU151" s="230"/>
      <c r="AV151" s="230"/>
      <c r="AW151" s="230"/>
      <c r="AX151" s="230"/>
      <c r="AY151" s="230"/>
      <c r="AZ151" s="230"/>
      <c r="BA151" s="230"/>
      <c r="BB151" s="230"/>
      <c r="BC151" s="230"/>
      <c r="BD151" s="230"/>
      <c r="BE151" s="230"/>
      <c r="BF151" s="230"/>
      <c r="BG151" s="230"/>
      <c r="BH151" s="230"/>
      <c r="BI151" s="230"/>
      <c r="BJ151" s="230"/>
      <c r="BK151" s="230"/>
      <c r="BL151" s="230"/>
      <c r="BM151" s="230"/>
      <c r="BN151" s="230"/>
      <c r="BO151" s="230"/>
      <c r="BP151" s="230"/>
      <c r="BQ151" s="230"/>
      <c r="BR151" s="230"/>
      <c r="BS151" s="230"/>
      <c r="BT151" s="230"/>
      <c r="BU151" s="230"/>
      <c r="BV151" s="230"/>
      <c r="BW151" s="230"/>
      <c r="BX151" s="230"/>
      <c r="BY151" s="230"/>
      <c r="BZ151" s="230"/>
      <c r="CA151" s="230"/>
      <c r="CB151" s="230"/>
      <c r="CC151" s="230"/>
      <c r="CD151" s="230"/>
      <c r="CE151" s="230"/>
      <c r="CF151" s="230"/>
      <c r="CG151" s="230"/>
      <c r="CH151" s="230"/>
      <c r="CI151" s="230"/>
      <c r="CJ151" s="230"/>
      <c r="CK151" s="230"/>
      <c r="CL151" s="230"/>
      <c r="CM151" s="230"/>
      <c r="CN151" s="230"/>
      <c r="CO151" s="230"/>
      <c r="CP151" s="230"/>
      <c r="CQ151" s="230"/>
      <c r="CR151" s="230"/>
      <c r="CS151" s="230"/>
      <c r="CT151" s="230"/>
      <c r="CU151" s="230"/>
      <c r="CV151" s="230"/>
      <c r="CW151" s="230"/>
      <c r="CX151" s="230"/>
      <c r="CY151" s="230"/>
      <c r="CZ151" s="230"/>
      <c r="DA151" s="230"/>
      <c r="DB151" s="230"/>
      <c r="DC151" s="230"/>
      <c r="DD151" s="230"/>
      <c r="DE151" s="230"/>
      <c r="DF151" s="230"/>
      <c r="DG151" s="230"/>
      <c r="DH151" s="230"/>
      <c r="DI151" s="230"/>
      <c r="DJ151" s="230"/>
      <c r="DK151" s="230"/>
      <c r="DL151" s="230"/>
      <c r="DM151" s="230"/>
      <c r="DN151" s="230"/>
      <c r="DO151" s="230"/>
      <c r="DP151" s="230"/>
      <c r="DQ151" s="230"/>
      <c r="DR151" s="230"/>
      <c r="DS151" s="230"/>
      <c r="DT151" s="230"/>
      <c r="DU151" s="230"/>
      <c r="DV151" s="230"/>
      <c r="DW151" s="230"/>
      <c r="DX151" s="230"/>
      <c r="DY151" s="230"/>
      <c r="DZ151" s="230"/>
      <c r="EA151" s="230"/>
      <c r="EB151" s="230"/>
      <c r="EC151" s="230"/>
      <c r="ED151" s="230"/>
      <c r="EE151" s="230"/>
      <c r="EF151" s="230"/>
      <c r="EG151" s="230"/>
      <c r="EH151" s="230"/>
      <c r="EI151" s="230"/>
      <c r="EJ151" s="230"/>
      <c r="EK151" s="230"/>
      <c r="EL151" s="230"/>
      <c r="EM151" s="230"/>
      <c r="EN151" s="230"/>
      <c r="EO151" s="230"/>
      <c r="EP151" s="230"/>
      <c r="EQ151" s="230"/>
      <c r="ER151" s="230"/>
      <c r="ES151" s="230"/>
      <c r="ET151" s="230"/>
      <c r="EU151" s="230"/>
      <c r="EV151" s="230"/>
      <c r="EW151" s="230"/>
      <c r="EX151" s="230"/>
      <c r="EY151" s="230"/>
      <c r="EZ151" s="230"/>
      <c r="FA151" s="230"/>
      <c r="FB151" s="230"/>
      <c r="FC151" s="230"/>
      <c r="FD151" s="230"/>
      <c r="FE151" s="230"/>
      <c r="FF151" s="230"/>
      <c r="FG151" s="230"/>
      <c r="FH151" s="230"/>
      <c r="FI151" s="230"/>
      <c r="FJ151" s="230"/>
      <c r="FK151" s="230"/>
      <c r="FL151" s="230"/>
      <c r="FM151" s="230"/>
      <c r="FN151" s="230"/>
      <c r="FO151" s="230"/>
      <c r="FP151" s="230"/>
      <c r="FQ151" s="230"/>
      <c r="FR151" s="230"/>
      <c r="FS151" s="230"/>
      <c r="FT151" s="230"/>
      <c r="FU151" s="230"/>
      <c r="FV151" s="230"/>
      <c r="FW151" s="230"/>
      <c r="FX151" s="230"/>
      <c r="FY151" s="230"/>
      <c r="FZ151" s="230"/>
      <c r="GA151" s="230"/>
      <c r="GB151" s="230"/>
      <c r="GC151" s="230"/>
      <c r="GD151" s="230"/>
      <c r="GE151" s="230"/>
      <c r="GF151" s="230"/>
      <c r="GG151" s="230"/>
      <c r="GH151" s="230"/>
      <c r="GI151" s="230"/>
      <c r="GJ151" s="230"/>
      <c r="GK151" s="230"/>
      <c r="GL151" s="230"/>
      <c r="GM151" s="230"/>
      <c r="GN151" s="230"/>
      <c r="GO151" s="230"/>
      <c r="GP151" s="230"/>
      <c r="GQ151" s="230"/>
      <c r="GR151" s="230"/>
      <c r="GS151" s="230"/>
      <c r="GT151" s="230"/>
      <c r="GU151" s="230"/>
      <c r="GV151" s="230"/>
      <c r="GW151" s="230"/>
      <c r="GX151" s="230"/>
      <c r="GY151" s="230"/>
      <c r="GZ151" s="230"/>
      <c r="HA151" s="230"/>
      <c r="HB151" s="230"/>
      <c r="HC151" s="230"/>
      <c r="HD151" s="230"/>
      <c r="HE151" s="230"/>
      <c r="HF151" s="230"/>
      <c r="HG151" s="230"/>
      <c r="HH151" s="230"/>
      <c r="HI151" s="230"/>
      <c r="HJ151" s="230"/>
      <c r="HK151" s="230"/>
      <c r="HL151" s="230"/>
      <c r="HM151" s="230"/>
      <c r="HN151" s="230"/>
      <c r="HO151" s="230"/>
      <c r="HP151" s="230"/>
      <c r="HQ151" s="230"/>
      <c r="HR151" s="230"/>
      <c r="HS151" s="230"/>
      <c r="HT151" s="230"/>
      <c r="HU151" s="230"/>
      <c r="HV151" s="230"/>
      <c r="HW151" s="230"/>
      <c r="HX151" s="230"/>
      <c r="HY151" s="230"/>
      <c r="HZ151" s="230"/>
      <c r="IA151" s="230"/>
      <c r="IB151" s="230"/>
      <c r="IC151" s="230"/>
      <c r="ID151" s="230"/>
      <c r="IE151" s="230"/>
      <c r="IF151" s="230"/>
      <c r="IG151" s="230"/>
      <c r="IH151" s="230"/>
      <c r="II151" s="230"/>
      <c r="IJ151" s="230"/>
      <c r="IK151" s="230"/>
      <c r="IL151" s="230"/>
      <c r="IM151" s="230"/>
      <c r="IN151" s="230"/>
      <c r="IO151" s="230"/>
      <c r="IP151" s="230"/>
    </row>
    <row r="152" spans="1:250" s="73" customFormat="1">
      <c r="A152" s="193" t="s">
        <v>1127</v>
      </c>
      <c r="B152" s="327">
        <v>4790.1000000000004</v>
      </c>
      <c r="C152" s="193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  <c r="AG152" s="230"/>
      <c r="AH152" s="230"/>
      <c r="AI152" s="230"/>
      <c r="AJ152" s="230"/>
      <c r="AK152" s="230"/>
      <c r="AL152" s="230"/>
      <c r="AM152" s="230"/>
      <c r="AN152" s="230"/>
      <c r="AO152" s="230"/>
      <c r="AP152" s="230"/>
      <c r="AQ152" s="230"/>
      <c r="AR152" s="230"/>
      <c r="AS152" s="230"/>
      <c r="AT152" s="230"/>
      <c r="AU152" s="230"/>
      <c r="AV152" s="230"/>
      <c r="AW152" s="230"/>
      <c r="AX152" s="230"/>
      <c r="AY152" s="230"/>
      <c r="AZ152" s="230"/>
      <c r="BA152" s="230"/>
      <c r="BB152" s="230"/>
      <c r="BC152" s="230"/>
      <c r="BD152" s="230"/>
      <c r="BE152" s="230"/>
      <c r="BF152" s="230"/>
      <c r="BG152" s="230"/>
      <c r="BH152" s="230"/>
      <c r="BI152" s="230"/>
      <c r="BJ152" s="230"/>
      <c r="BK152" s="230"/>
      <c r="BL152" s="230"/>
      <c r="BM152" s="230"/>
      <c r="BN152" s="230"/>
      <c r="BO152" s="230"/>
      <c r="BP152" s="230"/>
      <c r="BQ152" s="230"/>
      <c r="BR152" s="230"/>
      <c r="BS152" s="230"/>
      <c r="BT152" s="230"/>
      <c r="BU152" s="230"/>
      <c r="BV152" s="230"/>
      <c r="BW152" s="230"/>
      <c r="BX152" s="230"/>
      <c r="BY152" s="230"/>
      <c r="BZ152" s="230"/>
      <c r="CA152" s="230"/>
      <c r="CB152" s="230"/>
      <c r="CC152" s="230"/>
      <c r="CD152" s="230"/>
      <c r="CE152" s="230"/>
      <c r="CF152" s="230"/>
      <c r="CG152" s="230"/>
      <c r="CH152" s="230"/>
      <c r="CI152" s="230"/>
      <c r="CJ152" s="230"/>
      <c r="CK152" s="230"/>
      <c r="CL152" s="230"/>
      <c r="CM152" s="230"/>
      <c r="CN152" s="230"/>
      <c r="CO152" s="230"/>
      <c r="CP152" s="230"/>
      <c r="CQ152" s="230"/>
      <c r="CR152" s="230"/>
      <c r="CS152" s="230"/>
      <c r="CT152" s="230"/>
      <c r="CU152" s="230"/>
      <c r="CV152" s="230"/>
      <c r="CW152" s="230"/>
      <c r="CX152" s="230"/>
      <c r="CY152" s="230"/>
      <c r="CZ152" s="230"/>
      <c r="DA152" s="230"/>
      <c r="DB152" s="230"/>
      <c r="DC152" s="230"/>
      <c r="DD152" s="230"/>
      <c r="DE152" s="230"/>
      <c r="DF152" s="230"/>
      <c r="DG152" s="230"/>
      <c r="DH152" s="230"/>
      <c r="DI152" s="230"/>
      <c r="DJ152" s="230"/>
      <c r="DK152" s="230"/>
      <c r="DL152" s="230"/>
      <c r="DM152" s="230"/>
      <c r="DN152" s="230"/>
      <c r="DO152" s="230"/>
      <c r="DP152" s="230"/>
      <c r="DQ152" s="230"/>
      <c r="DR152" s="230"/>
      <c r="DS152" s="230"/>
      <c r="DT152" s="230"/>
      <c r="DU152" s="230"/>
      <c r="DV152" s="230"/>
      <c r="DW152" s="230"/>
      <c r="DX152" s="230"/>
      <c r="DY152" s="230"/>
      <c r="DZ152" s="230"/>
      <c r="EA152" s="230"/>
      <c r="EB152" s="230"/>
      <c r="EC152" s="230"/>
      <c r="ED152" s="230"/>
      <c r="EE152" s="230"/>
      <c r="EF152" s="230"/>
      <c r="EG152" s="230"/>
      <c r="EH152" s="230"/>
      <c r="EI152" s="230"/>
      <c r="EJ152" s="230"/>
      <c r="EK152" s="230"/>
      <c r="EL152" s="230"/>
      <c r="EM152" s="230"/>
      <c r="EN152" s="230"/>
      <c r="EO152" s="230"/>
      <c r="EP152" s="230"/>
      <c r="EQ152" s="230"/>
      <c r="ER152" s="230"/>
      <c r="ES152" s="230"/>
      <c r="ET152" s="230"/>
      <c r="EU152" s="230"/>
      <c r="EV152" s="230"/>
      <c r="EW152" s="230"/>
      <c r="EX152" s="230"/>
      <c r="EY152" s="230"/>
      <c r="EZ152" s="230"/>
      <c r="FA152" s="230"/>
      <c r="FB152" s="230"/>
      <c r="FC152" s="230"/>
      <c r="FD152" s="230"/>
      <c r="FE152" s="230"/>
      <c r="FF152" s="230"/>
      <c r="FG152" s="230"/>
      <c r="FH152" s="230"/>
      <c r="FI152" s="230"/>
      <c r="FJ152" s="230"/>
      <c r="FK152" s="230"/>
      <c r="FL152" s="230"/>
      <c r="FM152" s="230"/>
      <c r="FN152" s="230"/>
      <c r="FO152" s="230"/>
      <c r="FP152" s="230"/>
      <c r="FQ152" s="230"/>
      <c r="FR152" s="230"/>
      <c r="FS152" s="230"/>
      <c r="FT152" s="230"/>
      <c r="FU152" s="230"/>
      <c r="FV152" s="230"/>
      <c r="FW152" s="230"/>
      <c r="FX152" s="230"/>
      <c r="FY152" s="230"/>
      <c r="FZ152" s="230"/>
      <c r="GA152" s="230"/>
      <c r="GB152" s="230"/>
      <c r="GC152" s="230"/>
      <c r="GD152" s="230"/>
      <c r="GE152" s="230"/>
      <c r="GF152" s="230"/>
      <c r="GG152" s="230"/>
      <c r="GH152" s="230"/>
      <c r="GI152" s="230"/>
      <c r="GJ152" s="230"/>
      <c r="GK152" s="230"/>
      <c r="GL152" s="230"/>
      <c r="GM152" s="230"/>
      <c r="GN152" s="230"/>
      <c r="GO152" s="230"/>
      <c r="GP152" s="230"/>
      <c r="GQ152" s="230"/>
      <c r="GR152" s="230"/>
      <c r="GS152" s="230"/>
      <c r="GT152" s="230"/>
      <c r="GU152" s="230"/>
      <c r="GV152" s="230"/>
      <c r="GW152" s="230"/>
      <c r="GX152" s="230"/>
      <c r="GY152" s="230"/>
      <c r="GZ152" s="230"/>
      <c r="HA152" s="230"/>
      <c r="HB152" s="230"/>
      <c r="HC152" s="230"/>
      <c r="HD152" s="230"/>
      <c r="HE152" s="230"/>
      <c r="HF152" s="230"/>
      <c r="HG152" s="230"/>
      <c r="HH152" s="230"/>
      <c r="HI152" s="230"/>
      <c r="HJ152" s="230"/>
      <c r="HK152" s="230"/>
      <c r="HL152" s="230"/>
      <c r="HM152" s="230"/>
      <c r="HN152" s="230"/>
      <c r="HO152" s="230"/>
      <c r="HP152" s="230"/>
      <c r="HQ152" s="230"/>
      <c r="HR152" s="230"/>
      <c r="HS152" s="230"/>
      <c r="HT152" s="230"/>
      <c r="HU152" s="230"/>
      <c r="HV152" s="230"/>
      <c r="HW152" s="230"/>
      <c r="HX152" s="230"/>
      <c r="HY152" s="230"/>
      <c r="HZ152" s="230"/>
      <c r="IA152" s="230"/>
      <c r="IB152" s="230"/>
      <c r="IC152" s="230"/>
      <c r="ID152" s="230"/>
      <c r="IE152" s="230"/>
      <c r="IF152" s="230"/>
      <c r="IG152" s="230"/>
      <c r="IH152" s="230"/>
      <c r="II152" s="230"/>
      <c r="IJ152" s="230"/>
      <c r="IK152" s="230"/>
      <c r="IL152" s="230"/>
      <c r="IM152" s="230"/>
      <c r="IN152" s="230"/>
      <c r="IO152" s="230"/>
      <c r="IP152" s="230"/>
    </row>
    <row r="153" spans="1:250" s="73" customFormat="1">
      <c r="A153" s="193" t="s">
        <v>1128</v>
      </c>
      <c r="B153" s="327">
        <v>4876.0600000000004</v>
      </c>
      <c r="C153" s="193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  <c r="AF153" s="230"/>
      <c r="AG153" s="230"/>
      <c r="AH153" s="230"/>
      <c r="AI153" s="230"/>
      <c r="AJ153" s="230"/>
      <c r="AK153" s="230"/>
      <c r="AL153" s="230"/>
      <c r="AM153" s="230"/>
      <c r="AN153" s="230"/>
      <c r="AO153" s="230"/>
      <c r="AP153" s="230"/>
      <c r="AQ153" s="230"/>
      <c r="AR153" s="230"/>
      <c r="AS153" s="230"/>
      <c r="AT153" s="230"/>
      <c r="AU153" s="230"/>
      <c r="AV153" s="230"/>
      <c r="AW153" s="230"/>
      <c r="AX153" s="230"/>
      <c r="AY153" s="230"/>
      <c r="AZ153" s="230"/>
      <c r="BA153" s="230"/>
      <c r="BB153" s="230"/>
      <c r="BC153" s="230"/>
      <c r="BD153" s="230"/>
      <c r="BE153" s="230"/>
      <c r="BF153" s="230"/>
      <c r="BG153" s="230"/>
      <c r="BH153" s="230"/>
      <c r="BI153" s="230"/>
      <c r="BJ153" s="230"/>
      <c r="BK153" s="230"/>
      <c r="BL153" s="230"/>
      <c r="BM153" s="230"/>
      <c r="BN153" s="230"/>
      <c r="BO153" s="230"/>
      <c r="BP153" s="230"/>
      <c r="BQ153" s="230"/>
      <c r="BR153" s="230"/>
      <c r="BS153" s="230"/>
      <c r="BT153" s="230"/>
      <c r="BU153" s="230"/>
      <c r="BV153" s="230"/>
      <c r="BW153" s="230"/>
      <c r="BX153" s="230"/>
      <c r="BY153" s="230"/>
      <c r="BZ153" s="230"/>
      <c r="CA153" s="230"/>
      <c r="CB153" s="230"/>
      <c r="CC153" s="230"/>
      <c r="CD153" s="230"/>
      <c r="CE153" s="230"/>
      <c r="CF153" s="230"/>
      <c r="CG153" s="230"/>
      <c r="CH153" s="230"/>
      <c r="CI153" s="230"/>
      <c r="CJ153" s="230"/>
      <c r="CK153" s="230"/>
      <c r="CL153" s="230"/>
      <c r="CM153" s="230"/>
      <c r="CN153" s="230"/>
      <c r="CO153" s="230"/>
      <c r="CP153" s="230"/>
      <c r="CQ153" s="230"/>
      <c r="CR153" s="230"/>
      <c r="CS153" s="230"/>
      <c r="CT153" s="230"/>
      <c r="CU153" s="230"/>
      <c r="CV153" s="230"/>
      <c r="CW153" s="230"/>
      <c r="CX153" s="230"/>
      <c r="CY153" s="230"/>
      <c r="CZ153" s="230"/>
      <c r="DA153" s="230"/>
      <c r="DB153" s="230"/>
      <c r="DC153" s="230"/>
      <c r="DD153" s="230"/>
      <c r="DE153" s="230"/>
      <c r="DF153" s="230"/>
      <c r="DG153" s="230"/>
      <c r="DH153" s="230"/>
      <c r="DI153" s="230"/>
      <c r="DJ153" s="230"/>
      <c r="DK153" s="230"/>
      <c r="DL153" s="230"/>
      <c r="DM153" s="230"/>
      <c r="DN153" s="230"/>
      <c r="DO153" s="230"/>
      <c r="DP153" s="230"/>
      <c r="DQ153" s="230"/>
      <c r="DR153" s="230"/>
      <c r="DS153" s="230"/>
      <c r="DT153" s="230"/>
      <c r="DU153" s="230"/>
      <c r="DV153" s="230"/>
      <c r="DW153" s="230"/>
      <c r="DX153" s="230"/>
      <c r="DY153" s="230"/>
      <c r="DZ153" s="230"/>
      <c r="EA153" s="230"/>
      <c r="EB153" s="230"/>
      <c r="EC153" s="230"/>
      <c r="ED153" s="230"/>
      <c r="EE153" s="230"/>
      <c r="EF153" s="230"/>
      <c r="EG153" s="230"/>
      <c r="EH153" s="230"/>
      <c r="EI153" s="230"/>
      <c r="EJ153" s="230"/>
      <c r="EK153" s="230"/>
      <c r="EL153" s="230"/>
      <c r="EM153" s="230"/>
      <c r="EN153" s="230"/>
      <c r="EO153" s="230"/>
      <c r="EP153" s="230"/>
      <c r="EQ153" s="230"/>
      <c r="ER153" s="230"/>
      <c r="ES153" s="230"/>
      <c r="ET153" s="230"/>
      <c r="EU153" s="230"/>
      <c r="EV153" s="230"/>
      <c r="EW153" s="230"/>
      <c r="EX153" s="230"/>
      <c r="EY153" s="230"/>
      <c r="EZ153" s="230"/>
      <c r="FA153" s="230"/>
      <c r="FB153" s="230"/>
      <c r="FC153" s="230"/>
      <c r="FD153" s="230"/>
      <c r="FE153" s="230"/>
      <c r="FF153" s="230"/>
      <c r="FG153" s="230"/>
      <c r="FH153" s="230"/>
      <c r="FI153" s="230"/>
      <c r="FJ153" s="230"/>
      <c r="FK153" s="230"/>
      <c r="FL153" s="230"/>
      <c r="FM153" s="230"/>
      <c r="FN153" s="230"/>
      <c r="FO153" s="230"/>
      <c r="FP153" s="230"/>
      <c r="FQ153" s="230"/>
      <c r="FR153" s="230"/>
      <c r="FS153" s="230"/>
      <c r="FT153" s="230"/>
      <c r="FU153" s="230"/>
      <c r="FV153" s="230"/>
      <c r="FW153" s="230"/>
      <c r="FX153" s="230"/>
      <c r="FY153" s="230"/>
      <c r="FZ153" s="230"/>
      <c r="GA153" s="230"/>
      <c r="GB153" s="230"/>
      <c r="GC153" s="230"/>
      <c r="GD153" s="230"/>
      <c r="GE153" s="230"/>
      <c r="GF153" s="230"/>
      <c r="GG153" s="230"/>
      <c r="GH153" s="230"/>
      <c r="GI153" s="230"/>
      <c r="GJ153" s="230"/>
      <c r="GK153" s="230"/>
      <c r="GL153" s="230"/>
      <c r="GM153" s="230"/>
      <c r="GN153" s="230"/>
      <c r="GO153" s="230"/>
      <c r="GP153" s="230"/>
      <c r="GQ153" s="230"/>
      <c r="GR153" s="230"/>
      <c r="GS153" s="230"/>
      <c r="GT153" s="230"/>
      <c r="GU153" s="230"/>
      <c r="GV153" s="230"/>
      <c r="GW153" s="230"/>
      <c r="GX153" s="230"/>
      <c r="GY153" s="230"/>
      <c r="GZ153" s="230"/>
      <c r="HA153" s="230"/>
      <c r="HB153" s="230"/>
      <c r="HC153" s="230"/>
      <c r="HD153" s="230"/>
      <c r="HE153" s="230"/>
      <c r="HF153" s="230"/>
      <c r="HG153" s="230"/>
      <c r="HH153" s="230"/>
      <c r="HI153" s="230"/>
      <c r="HJ153" s="230"/>
      <c r="HK153" s="230"/>
      <c r="HL153" s="230"/>
      <c r="HM153" s="230"/>
      <c r="HN153" s="230"/>
      <c r="HO153" s="230"/>
      <c r="HP153" s="230"/>
      <c r="HQ153" s="230"/>
      <c r="HR153" s="230"/>
      <c r="HS153" s="230"/>
      <c r="HT153" s="230"/>
      <c r="HU153" s="230"/>
      <c r="HV153" s="230"/>
      <c r="HW153" s="230"/>
      <c r="HX153" s="230"/>
      <c r="HY153" s="230"/>
      <c r="HZ153" s="230"/>
      <c r="IA153" s="230"/>
      <c r="IB153" s="230"/>
      <c r="IC153" s="230"/>
      <c r="ID153" s="230"/>
      <c r="IE153" s="230"/>
      <c r="IF153" s="230"/>
      <c r="IG153" s="230"/>
      <c r="IH153" s="230"/>
      <c r="II153" s="230"/>
      <c r="IJ153" s="230"/>
      <c r="IK153" s="230"/>
      <c r="IL153" s="230"/>
      <c r="IM153" s="230"/>
      <c r="IN153" s="230"/>
      <c r="IO153" s="230"/>
      <c r="IP153" s="230"/>
    </row>
    <row r="154" spans="1:250" s="73" customFormat="1">
      <c r="A154" s="193" t="s">
        <v>724</v>
      </c>
      <c r="B154" s="327">
        <f>26934.53*1.48</f>
        <v>39863.104399999997</v>
      </c>
      <c r="C154" s="193">
        <f>ROUND(B154/B133/12,2)</f>
        <v>3.55</v>
      </c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  <c r="AG154" s="230"/>
      <c r="AH154" s="230"/>
      <c r="AI154" s="230"/>
      <c r="AJ154" s="230"/>
      <c r="AK154" s="230"/>
      <c r="AL154" s="230"/>
      <c r="AM154" s="230"/>
      <c r="AN154" s="230"/>
      <c r="AO154" s="230"/>
      <c r="AP154" s="230"/>
      <c r="AQ154" s="230"/>
      <c r="AR154" s="230"/>
      <c r="AS154" s="230"/>
      <c r="AT154" s="230"/>
      <c r="AU154" s="230"/>
      <c r="AV154" s="230"/>
      <c r="AW154" s="230"/>
      <c r="AX154" s="230"/>
      <c r="AY154" s="230"/>
      <c r="AZ154" s="230"/>
      <c r="BA154" s="230"/>
      <c r="BB154" s="230"/>
      <c r="BC154" s="230"/>
      <c r="BD154" s="230"/>
      <c r="BE154" s="230"/>
      <c r="BF154" s="230"/>
      <c r="BG154" s="230"/>
      <c r="BH154" s="230"/>
      <c r="BI154" s="230"/>
      <c r="BJ154" s="230"/>
      <c r="BK154" s="230"/>
      <c r="BL154" s="230"/>
      <c r="BM154" s="230"/>
      <c r="BN154" s="230"/>
      <c r="BO154" s="230"/>
      <c r="BP154" s="230"/>
      <c r="BQ154" s="230"/>
      <c r="BR154" s="230"/>
      <c r="BS154" s="230"/>
      <c r="BT154" s="230"/>
      <c r="BU154" s="230"/>
      <c r="BV154" s="230"/>
      <c r="BW154" s="230"/>
      <c r="BX154" s="230"/>
      <c r="BY154" s="230"/>
      <c r="BZ154" s="230"/>
      <c r="CA154" s="230"/>
      <c r="CB154" s="230"/>
      <c r="CC154" s="230"/>
      <c r="CD154" s="230"/>
      <c r="CE154" s="230"/>
      <c r="CF154" s="230"/>
      <c r="CG154" s="230"/>
      <c r="CH154" s="230"/>
      <c r="CI154" s="230"/>
      <c r="CJ154" s="230"/>
      <c r="CK154" s="230"/>
      <c r="CL154" s="230"/>
      <c r="CM154" s="230"/>
      <c r="CN154" s="230"/>
      <c r="CO154" s="230"/>
      <c r="CP154" s="230"/>
      <c r="CQ154" s="230"/>
      <c r="CR154" s="230"/>
      <c r="CS154" s="230"/>
      <c r="CT154" s="230"/>
      <c r="CU154" s="230"/>
      <c r="CV154" s="230"/>
      <c r="CW154" s="230"/>
      <c r="CX154" s="230"/>
      <c r="CY154" s="230"/>
      <c r="CZ154" s="230"/>
      <c r="DA154" s="230"/>
      <c r="DB154" s="230"/>
      <c r="DC154" s="230"/>
      <c r="DD154" s="230"/>
      <c r="DE154" s="230"/>
      <c r="DF154" s="230"/>
      <c r="DG154" s="230"/>
      <c r="DH154" s="230"/>
      <c r="DI154" s="230"/>
      <c r="DJ154" s="230"/>
      <c r="DK154" s="230"/>
      <c r="DL154" s="230"/>
      <c r="DM154" s="230"/>
      <c r="DN154" s="230"/>
      <c r="DO154" s="230"/>
      <c r="DP154" s="230"/>
      <c r="DQ154" s="230"/>
      <c r="DR154" s="230"/>
      <c r="DS154" s="230"/>
      <c r="DT154" s="230"/>
      <c r="DU154" s="230"/>
      <c r="DV154" s="230"/>
      <c r="DW154" s="230"/>
      <c r="DX154" s="230"/>
      <c r="DY154" s="230"/>
      <c r="DZ154" s="230"/>
      <c r="EA154" s="230"/>
      <c r="EB154" s="230"/>
      <c r="EC154" s="230"/>
      <c r="ED154" s="230"/>
      <c r="EE154" s="230"/>
      <c r="EF154" s="230"/>
      <c r="EG154" s="230"/>
      <c r="EH154" s="230"/>
      <c r="EI154" s="230"/>
      <c r="EJ154" s="230"/>
      <c r="EK154" s="230"/>
      <c r="EL154" s="230"/>
      <c r="EM154" s="230"/>
      <c r="EN154" s="230"/>
      <c r="EO154" s="230"/>
      <c r="EP154" s="230"/>
      <c r="EQ154" s="230"/>
      <c r="ER154" s="230"/>
      <c r="ES154" s="230"/>
      <c r="ET154" s="230"/>
      <c r="EU154" s="230"/>
      <c r="EV154" s="230"/>
      <c r="EW154" s="230"/>
      <c r="EX154" s="230"/>
      <c r="EY154" s="230"/>
      <c r="EZ154" s="230"/>
      <c r="FA154" s="230"/>
      <c r="FB154" s="230"/>
      <c r="FC154" s="230"/>
      <c r="FD154" s="230"/>
      <c r="FE154" s="230"/>
      <c r="FF154" s="230"/>
      <c r="FG154" s="230"/>
      <c r="FH154" s="230"/>
      <c r="FI154" s="230"/>
      <c r="FJ154" s="230"/>
      <c r="FK154" s="230"/>
      <c r="FL154" s="230"/>
      <c r="FM154" s="230"/>
      <c r="FN154" s="230"/>
      <c r="FO154" s="230"/>
      <c r="FP154" s="230"/>
      <c r="FQ154" s="230"/>
      <c r="FR154" s="230"/>
      <c r="FS154" s="230"/>
      <c r="FT154" s="230"/>
      <c r="FU154" s="230"/>
      <c r="FV154" s="230"/>
      <c r="FW154" s="230"/>
      <c r="FX154" s="230"/>
      <c r="FY154" s="230"/>
      <c r="FZ154" s="230"/>
      <c r="GA154" s="230"/>
      <c r="GB154" s="230"/>
      <c r="GC154" s="230"/>
      <c r="GD154" s="230"/>
      <c r="GE154" s="230"/>
      <c r="GF154" s="230"/>
      <c r="GG154" s="230"/>
      <c r="GH154" s="230"/>
      <c r="GI154" s="230"/>
      <c r="GJ154" s="230"/>
      <c r="GK154" s="230"/>
      <c r="GL154" s="230"/>
      <c r="GM154" s="230"/>
      <c r="GN154" s="230"/>
      <c r="GO154" s="230"/>
      <c r="GP154" s="230"/>
      <c r="GQ154" s="230"/>
      <c r="GR154" s="230"/>
      <c r="GS154" s="230"/>
      <c r="GT154" s="230"/>
      <c r="GU154" s="230"/>
      <c r="GV154" s="230"/>
      <c r="GW154" s="230"/>
      <c r="GX154" s="230"/>
      <c r="GY154" s="230"/>
      <c r="GZ154" s="230"/>
      <c r="HA154" s="230"/>
      <c r="HB154" s="230"/>
      <c r="HC154" s="230"/>
      <c r="HD154" s="230"/>
      <c r="HE154" s="230"/>
      <c r="HF154" s="230"/>
      <c r="HG154" s="230"/>
      <c r="HH154" s="230"/>
      <c r="HI154" s="230"/>
      <c r="HJ154" s="230"/>
      <c r="HK154" s="230"/>
      <c r="HL154" s="230"/>
      <c r="HM154" s="230"/>
      <c r="HN154" s="230"/>
      <c r="HO154" s="230"/>
      <c r="HP154" s="230"/>
      <c r="HQ154" s="230"/>
      <c r="HR154" s="230"/>
      <c r="HS154" s="230"/>
      <c r="HT154" s="230"/>
      <c r="HU154" s="230"/>
      <c r="HV154" s="230"/>
      <c r="HW154" s="230"/>
      <c r="HX154" s="230"/>
      <c r="HY154" s="230"/>
      <c r="HZ154" s="230"/>
      <c r="IA154" s="230"/>
      <c r="IB154" s="230"/>
      <c r="IC154" s="230"/>
      <c r="ID154" s="230"/>
      <c r="IE154" s="230"/>
      <c r="IF154" s="230"/>
      <c r="IG154" s="230"/>
      <c r="IH154" s="230"/>
      <c r="II154" s="230"/>
      <c r="IJ154" s="230"/>
      <c r="IK154" s="230"/>
      <c r="IL154" s="230"/>
      <c r="IM154" s="230"/>
      <c r="IN154" s="230"/>
      <c r="IO154" s="230"/>
      <c r="IP154" s="230"/>
    </row>
    <row r="155" spans="1:250" s="73" customFormat="1">
      <c r="A155" s="193" t="s">
        <v>3817</v>
      </c>
      <c r="B155" s="327">
        <f>B136*0.1</f>
        <v>20024.520000000004</v>
      </c>
      <c r="C155" s="193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  <c r="AG155" s="230"/>
      <c r="AH155" s="230"/>
      <c r="AI155" s="230"/>
      <c r="AJ155" s="230"/>
      <c r="AK155" s="230"/>
      <c r="AL155" s="230"/>
      <c r="AM155" s="230"/>
      <c r="AN155" s="230"/>
      <c r="AO155" s="230"/>
      <c r="AP155" s="230"/>
      <c r="AQ155" s="230"/>
      <c r="AR155" s="230"/>
      <c r="AS155" s="230"/>
      <c r="AT155" s="230"/>
      <c r="AU155" s="230"/>
      <c r="AV155" s="230"/>
      <c r="AW155" s="230"/>
      <c r="AX155" s="230"/>
      <c r="AY155" s="230"/>
      <c r="AZ155" s="230"/>
      <c r="BA155" s="230"/>
      <c r="BB155" s="230"/>
      <c r="BC155" s="230"/>
      <c r="BD155" s="230"/>
      <c r="BE155" s="230"/>
      <c r="BF155" s="230"/>
      <c r="BG155" s="230"/>
      <c r="BH155" s="230"/>
      <c r="BI155" s="230"/>
      <c r="BJ155" s="230"/>
      <c r="BK155" s="230"/>
      <c r="BL155" s="230"/>
      <c r="BM155" s="230"/>
      <c r="BN155" s="230"/>
      <c r="BO155" s="230"/>
      <c r="BP155" s="230"/>
      <c r="BQ155" s="230"/>
      <c r="BR155" s="230"/>
      <c r="BS155" s="230"/>
      <c r="BT155" s="230"/>
      <c r="BU155" s="230"/>
      <c r="BV155" s="230"/>
      <c r="BW155" s="230"/>
      <c r="BX155" s="230"/>
      <c r="BY155" s="230"/>
      <c r="BZ155" s="230"/>
      <c r="CA155" s="230"/>
      <c r="CB155" s="230"/>
      <c r="CC155" s="230"/>
      <c r="CD155" s="230"/>
      <c r="CE155" s="230"/>
      <c r="CF155" s="230"/>
      <c r="CG155" s="230"/>
      <c r="CH155" s="230"/>
      <c r="CI155" s="230"/>
      <c r="CJ155" s="230"/>
      <c r="CK155" s="230"/>
      <c r="CL155" s="230"/>
      <c r="CM155" s="230"/>
      <c r="CN155" s="230"/>
      <c r="CO155" s="230"/>
      <c r="CP155" s="230"/>
      <c r="CQ155" s="230"/>
      <c r="CR155" s="230"/>
      <c r="CS155" s="230"/>
      <c r="CT155" s="230"/>
      <c r="CU155" s="230"/>
      <c r="CV155" s="230"/>
      <c r="CW155" s="230"/>
      <c r="CX155" s="230"/>
      <c r="CY155" s="230"/>
      <c r="CZ155" s="230"/>
      <c r="DA155" s="230"/>
      <c r="DB155" s="230"/>
      <c r="DC155" s="230"/>
      <c r="DD155" s="230"/>
      <c r="DE155" s="230"/>
      <c r="DF155" s="230"/>
      <c r="DG155" s="230"/>
      <c r="DH155" s="230"/>
      <c r="DI155" s="230"/>
      <c r="DJ155" s="230"/>
      <c r="DK155" s="230"/>
      <c r="DL155" s="230"/>
      <c r="DM155" s="230"/>
      <c r="DN155" s="230"/>
      <c r="DO155" s="230"/>
      <c r="DP155" s="230"/>
      <c r="DQ155" s="230"/>
      <c r="DR155" s="230"/>
      <c r="DS155" s="230"/>
      <c r="DT155" s="230"/>
      <c r="DU155" s="230"/>
      <c r="DV155" s="230"/>
      <c r="DW155" s="230"/>
      <c r="DX155" s="230"/>
      <c r="DY155" s="230"/>
      <c r="DZ155" s="230"/>
      <c r="EA155" s="230"/>
      <c r="EB155" s="230"/>
      <c r="EC155" s="230"/>
      <c r="ED155" s="230"/>
      <c r="EE155" s="230"/>
      <c r="EF155" s="230"/>
      <c r="EG155" s="230"/>
      <c r="EH155" s="230"/>
      <c r="EI155" s="230"/>
      <c r="EJ155" s="230"/>
      <c r="EK155" s="230"/>
      <c r="EL155" s="230"/>
      <c r="EM155" s="230"/>
      <c r="EN155" s="230"/>
      <c r="EO155" s="230"/>
      <c r="EP155" s="230"/>
      <c r="EQ155" s="230"/>
      <c r="ER155" s="230"/>
      <c r="ES155" s="230"/>
      <c r="ET155" s="230"/>
      <c r="EU155" s="230"/>
      <c r="EV155" s="230"/>
      <c r="EW155" s="230"/>
      <c r="EX155" s="230"/>
      <c r="EY155" s="230"/>
      <c r="EZ155" s="230"/>
      <c r="FA155" s="230"/>
      <c r="FB155" s="230"/>
      <c r="FC155" s="230"/>
      <c r="FD155" s="230"/>
      <c r="FE155" s="230"/>
      <c r="FF155" s="230"/>
      <c r="FG155" s="230"/>
      <c r="FH155" s="230"/>
      <c r="FI155" s="230"/>
      <c r="FJ155" s="230"/>
      <c r="FK155" s="230"/>
      <c r="FL155" s="230"/>
      <c r="FM155" s="230"/>
      <c r="FN155" s="230"/>
      <c r="FO155" s="230"/>
      <c r="FP155" s="230"/>
      <c r="FQ155" s="230"/>
      <c r="FR155" s="230"/>
      <c r="FS155" s="230"/>
      <c r="FT155" s="230"/>
      <c r="FU155" s="230"/>
      <c r="FV155" s="230"/>
      <c r="FW155" s="230"/>
      <c r="FX155" s="230"/>
      <c r="FY155" s="230"/>
      <c r="FZ155" s="230"/>
      <c r="GA155" s="230"/>
      <c r="GB155" s="230"/>
      <c r="GC155" s="230"/>
      <c r="GD155" s="230"/>
      <c r="GE155" s="230"/>
      <c r="GF155" s="230"/>
      <c r="GG155" s="230"/>
      <c r="GH155" s="230"/>
      <c r="GI155" s="230"/>
      <c r="GJ155" s="230"/>
      <c r="GK155" s="230"/>
      <c r="GL155" s="230"/>
      <c r="GM155" s="230"/>
      <c r="GN155" s="230"/>
      <c r="GO155" s="230"/>
      <c r="GP155" s="230"/>
      <c r="GQ155" s="230"/>
      <c r="GR155" s="230"/>
      <c r="GS155" s="230"/>
      <c r="GT155" s="230"/>
      <c r="GU155" s="230"/>
      <c r="GV155" s="230"/>
      <c r="GW155" s="230"/>
      <c r="GX155" s="230"/>
      <c r="GY155" s="230"/>
      <c r="GZ155" s="230"/>
      <c r="HA155" s="230"/>
      <c r="HB155" s="230"/>
      <c r="HC155" s="230"/>
      <c r="HD155" s="230"/>
      <c r="HE155" s="230"/>
      <c r="HF155" s="230"/>
      <c r="HG155" s="230"/>
      <c r="HH155" s="230"/>
      <c r="HI155" s="230"/>
      <c r="HJ155" s="230"/>
      <c r="HK155" s="230"/>
      <c r="HL155" s="230"/>
      <c r="HM155" s="230"/>
      <c r="HN155" s="230"/>
      <c r="HO155" s="230"/>
      <c r="HP155" s="230"/>
      <c r="HQ155" s="230"/>
      <c r="HR155" s="230"/>
      <c r="HS155" s="230"/>
      <c r="HT155" s="230"/>
      <c r="HU155" s="230"/>
      <c r="HV155" s="230"/>
      <c r="HW155" s="230"/>
      <c r="HX155" s="230"/>
      <c r="HY155" s="230"/>
      <c r="HZ155" s="230"/>
      <c r="IA155" s="230"/>
      <c r="IB155" s="230"/>
      <c r="IC155" s="230"/>
      <c r="ID155" s="230"/>
      <c r="IE155" s="230"/>
      <c r="IF155" s="230"/>
      <c r="IG155" s="230"/>
      <c r="IH155" s="230"/>
      <c r="II155" s="230"/>
      <c r="IJ155" s="230"/>
      <c r="IK155" s="230"/>
      <c r="IL155" s="230"/>
      <c r="IM155" s="230"/>
      <c r="IN155" s="230"/>
      <c r="IO155" s="230"/>
      <c r="IP155" s="230"/>
    </row>
    <row r="156" spans="1:250" s="73" customFormat="1">
      <c r="A156" s="193" t="s">
        <v>1129</v>
      </c>
      <c r="B156" s="327">
        <f>B135</f>
        <v>32394.71</v>
      </c>
      <c r="C156" s="193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  <c r="AE156" s="230"/>
      <c r="AF156" s="230"/>
      <c r="AG156" s="230"/>
      <c r="AH156" s="230"/>
      <c r="AI156" s="230"/>
      <c r="AJ156" s="230"/>
      <c r="AK156" s="230"/>
      <c r="AL156" s="230"/>
      <c r="AM156" s="230"/>
      <c r="AN156" s="230"/>
      <c r="AO156" s="230"/>
      <c r="AP156" s="230"/>
      <c r="AQ156" s="230"/>
      <c r="AR156" s="230"/>
      <c r="AS156" s="230"/>
      <c r="AT156" s="230"/>
      <c r="AU156" s="230"/>
      <c r="AV156" s="230"/>
      <c r="AW156" s="230"/>
      <c r="AX156" s="230"/>
      <c r="AY156" s="230"/>
      <c r="AZ156" s="230"/>
      <c r="BA156" s="230"/>
      <c r="BB156" s="230"/>
      <c r="BC156" s="230"/>
      <c r="BD156" s="230"/>
      <c r="BE156" s="230"/>
      <c r="BF156" s="230"/>
      <c r="BG156" s="230"/>
      <c r="BH156" s="230"/>
      <c r="BI156" s="230"/>
      <c r="BJ156" s="230"/>
      <c r="BK156" s="230"/>
      <c r="BL156" s="230"/>
      <c r="BM156" s="230"/>
      <c r="BN156" s="230"/>
      <c r="BO156" s="230"/>
      <c r="BP156" s="230"/>
      <c r="BQ156" s="230"/>
      <c r="BR156" s="230"/>
      <c r="BS156" s="230"/>
      <c r="BT156" s="230"/>
      <c r="BU156" s="230"/>
      <c r="BV156" s="230"/>
      <c r="BW156" s="230"/>
      <c r="BX156" s="230"/>
      <c r="BY156" s="230"/>
      <c r="BZ156" s="230"/>
      <c r="CA156" s="230"/>
      <c r="CB156" s="230"/>
      <c r="CC156" s="230"/>
      <c r="CD156" s="230"/>
      <c r="CE156" s="230"/>
      <c r="CF156" s="230"/>
      <c r="CG156" s="230"/>
      <c r="CH156" s="230"/>
      <c r="CI156" s="230"/>
      <c r="CJ156" s="230"/>
      <c r="CK156" s="230"/>
      <c r="CL156" s="230"/>
      <c r="CM156" s="230"/>
      <c r="CN156" s="230"/>
      <c r="CO156" s="230"/>
      <c r="CP156" s="230"/>
      <c r="CQ156" s="230"/>
      <c r="CR156" s="230"/>
      <c r="CS156" s="230"/>
      <c r="CT156" s="230"/>
      <c r="CU156" s="230"/>
      <c r="CV156" s="230"/>
      <c r="CW156" s="230"/>
      <c r="CX156" s="230"/>
      <c r="CY156" s="230"/>
      <c r="CZ156" s="230"/>
      <c r="DA156" s="230"/>
      <c r="DB156" s="230"/>
      <c r="DC156" s="230"/>
      <c r="DD156" s="230"/>
      <c r="DE156" s="230"/>
      <c r="DF156" s="230"/>
      <c r="DG156" s="230"/>
      <c r="DH156" s="230"/>
      <c r="DI156" s="230"/>
      <c r="DJ156" s="230"/>
      <c r="DK156" s="230"/>
      <c r="DL156" s="230"/>
      <c r="DM156" s="230"/>
      <c r="DN156" s="230"/>
      <c r="DO156" s="230"/>
      <c r="DP156" s="230"/>
      <c r="DQ156" s="230"/>
      <c r="DR156" s="230"/>
      <c r="DS156" s="230"/>
      <c r="DT156" s="230"/>
      <c r="DU156" s="230"/>
      <c r="DV156" s="230"/>
      <c r="DW156" s="230"/>
      <c r="DX156" s="230"/>
      <c r="DY156" s="230"/>
      <c r="DZ156" s="230"/>
      <c r="EA156" s="230"/>
      <c r="EB156" s="230"/>
      <c r="EC156" s="230"/>
      <c r="ED156" s="230"/>
      <c r="EE156" s="230"/>
      <c r="EF156" s="230"/>
      <c r="EG156" s="230"/>
      <c r="EH156" s="230"/>
      <c r="EI156" s="230"/>
      <c r="EJ156" s="230"/>
      <c r="EK156" s="230"/>
      <c r="EL156" s="230"/>
      <c r="EM156" s="230"/>
      <c r="EN156" s="230"/>
      <c r="EO156" s="230"/>
      <c r="EP156" s="230"/>
      <c r="EQ156" s="230"/>
      <c r="ER156" s="230"/>
      <c r="ES156" s="230"/>
      <c r="ET156" s="230"/>
      <c r="EU156" s="230"/>
      <c r="EV156" s="230"/>
      <c r="EW156" s="230"/>
      <c r="EX156" s="230"/>
      <c r="EY156" s="230"/>
      <c r="EZ156" s="230"/>
      <c r="FA156" s="230"/>
      <c r="FB156" s="230"/>
      <c r="FC156" s="230"/>
      <c r="FD156" s="230"/>
      <c r="FE156" s="230"/>
      <c r="FF156" s="230"/>
      <c r="FG156" s="230"/>
      <c r="FH156" s="230"/>
      <c r="FI156" s="230"/>
      <c r="FJ156" s="230"/>
      <c r="FK156" s="230"/>
      <c r="FL156" s="230"/>
      <c r="FM156" s="230"/>
      <c r="FN156" s="230"/>
      <c r="FO156" s="230"/>
      <c r="FP156" s="230"/>
      <c r="FQ156" s="230"/>
      <c r="FR156" s="230"/>
      <c r="FS156" s="230"/>
      <c r="FT156" s="230"/>
      <c r="FU156" s="230"/>
      <c r="FV156" s="230"/>
      <c r="FW156" s="230"/>
      <c r="FX156" s="230"/>
      <c r="FY156" s="230"/>
      <c r="FZ156" s="230"/>
      <c r="GA156" s="230"/>
      <c r="GB156" s="230"/>
      <c r="GC156" s="230"/>
      <c r="GD156" s="230"/>
      <c r="GE156" s="230"/>
      <c r="GF156" s="230"/>
      <c r="GG156" s="230"/>
      <c r="GH156" s="230"/>
      <c r="GI156" s="230"/>
      <c r="GJ156" s="230"/>
      <c r="GK156" s="230"/>
      <c r="GL156" s="230"/>
      <c r="GM156" s="230"/>
      <c r="GN156" s="230"/>
      <c r="GO156" s="230"/>
      <c r="GP156" s="230"/>
      <c r="GQ156" s="230"/>
      <c r="GR156" s="230"/>
      <c r="GS156" s="230"/>
      <c r="GT156" s="230"/>
      <c r="GU156" s="230"/>
      <c r="GV156" s="230"/>
      <c r="GW156" s="230"/>
      <c r="GX156" s="230"/>
      <c r="GY156" s="230"/>
      <c r="GZ156" s="230"/>
      <c r="HA156" s="230"/>
      <c r="HB156" s="230"/>
      <c r="HC156" s="230"/>
      <c r="HD156" s="230"/>
      <c r="HE156" s="230"/>
      <c r="HF156" s="230"/>
      <c r="HG156" s="230"/>
      <c r="HH156" s="230"/>
      <c r="HI156" s="230"/>
      <c r="HJ156" s="230"/>
      <c r="HK156" s="230"/>
      <c r="HL156" s="230"/>
      <c r="HM156" s="230"/>
      <c r="HN156" s="230"/>
      <c r="HO156" s="230"/>
      <c r="HP156" s="230"/>
      <c r="HQ156" s="230"/>
      <c r="HR156" s="230"/>
      <c r="HS156" s="230"/>
      <c r="HT156" s="230"/>
      <c r="HU156" s="230"/>
      <c r="HV156" s="230"/>
      <c r="HW156" s="230"/>
      <c r="HX156" s="230"/>
      <c r="HY156" s="230"/>
      <c r="HZ156" s="230"/>
      <c r="IA156" s="230"/>
      <c r="IB156" s="230"/>
      <c r="IC156" s="230"/>
      <c r="ID156" s="230"/>
      <c r="IE156" s="230"/>
      <c r="IF156" s="230"/>
      <c r="IG156" s="230"/>
      <c r="IH156" s="230"/>
      <c r="II156" s="230"/>
      <c r="IJ156" s="230"/>
      <c r="IK156" s="230"/>
      <c r="IL156" s="230"/>
      <c r="IM156" s="230"/>
      <c r="IN156" s="230"/>
      <c r="IO156" s="230"/>
      <c r="IP156" s="230"/>
    </row>
    <row r="157" spans="1:250" s="73" customFormat="1">
      <c r="A157" s="193" t="s">
        <v>1236</v>
      </c>
      <c r="B157" s="327">
        <f>B141-B143-B156</f>
        <v>-27970.05725346582</v>
      </c>
      <c r="C157" s="193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  <c r="AG157" s="230"/>
      <c r="AH157" s="230"/>
      <c r="AI157" s="230"/>
      <c r="AJ157" s="230"/>
      <c r="AK157" s="230"/>
      <c r="AL157" s="230"/>
      <c r="AM157" s="230"/>
      <c r="AN157" s="230"/>
      <c r="AO157" s="230"/>
      <c r="AP157" s="230"/>
      <c r="AQ157" s="230"/>
      <c r="AR157" s="230"/>
      <c r="AS157" s="230"/>
      <c r="AT157" s="230"/>
      <c r="AU157" s="230"/>
      <c r="AV157" s="230"/>
      <c r="AW157" s="230"/>
      <c r="AX157" s="230"/>
      <c r="AY157" s="230"/>
      <c r="AZ157" s="230"/>
      <c r="BA157" s="230"/>
      <c r="BB157" s="230"/>
      <c r="BC157" s="230"/>
      <c r="BD157" s="230"/>
      <c r="BE157" s="230"/>
      <c r="BF157" s="230"/>
      <c r="BG157" s="230"/>
      <c r="BH157" s="230"/>
      <c r="BI157" s="230"/>
      <c r="BJ157" s="230"/>
      <c r="BK157" s="230"/>
      <c r="BL157" s="230"/>
      <c r="BM157" s="230"/>
      <c r="BN157" s="230"/>
      <c r="BO157" s="230"/>
      <c r="BP157" s="230"/>
      <c r="BQ157" s="230"/>
      <c r="BR157" s="230"/>
      <c r="BS157" s="230"/>
      <c r="BT157" s="230"/>
      <c r="BU157" s="230"/>
      <c r="BV157" s="230"/>
      <c r="BW157" s="230"/>
      <c r="BX157" s="230"/>
      <c r="BY157" s="230"/>
      <c r="BZ157" s="230"/>
      <c r="CA157" s="230"/>
      <c r="CB157" s="230"/>
      <c r="CC157" s="230"/>
      <c r="CD157" s="230"/>
      <c r="CE157" s="230"/>
      <c r="CF157" s="230"/>
      <c r="CG157" s="230"/>
      <c r="CH157" s="230"/>
      <c r="CI157" s="230"/>
      <c r="CJ157" s="230"/>
      <c r="CK157" s="230"/>
      <c r="CL157" s="230"/>
      <c r="CM157" s="230"/>
      <c r="CN157" s="230"/>
      <c r="CO157" s="230"/>
      <c r="CP157" s="230"/>
      <c r="CQ157" s="230"/>
      <c r="CR157" s="230"/>
      <c r="CS157" s="230"/>
      <c r="CT157" s="230"/>
      <c r="CU157" s="230"/>
      <c r="CV157" s="230"/>
      <c r="CW157" s="230"/>
      <c r="CX157" s="230"/>
      <c r="CY157" s="230"/>
      <c r="CZ157" s="230"/>
      <c r="DA157" s="230"/>
      <c r="DB157" s="230"/>
      <c r="DC157" s="230"/>
      <c r="DD157" s="230"/>
      <c r="DE157" s="230"/>
      <c r="DF157" s="230"/>
      <c r="DG157" s="230"/>
      <c r="DH157" s="230"/>
      <c r="DI157" s="230"/>
      <c r="DJ157" s="230"/>
      <c r="DK157" s="230"/>
      <c r="DL157" s="230"/>
      <c r="DM157" s="230"/>
      <c r="DN157" s="230"/>
      <c r="DO157" s="230"/>
      <c r="DP157" s="230"/>
      <c r="DQ157" s="230"/>
      <c r="DR157" s="230"/>
      <c r="DS157" s="230"/>
      <c r="DT157" s="230"/>
      <c r="DU157" s="230"/>
      <c r="DV157" s="230"/>
      <c r="DW157" s="230"/>
      <c r="DX157" s="230"/>
      <c r="DY157" s="230"/>
      <c r="DZ157" s="230"/>
      <c r="EA157" s="230"/>
      <c r="EB157" s="230"/>
      <c r="EC157" s="230"/>
      <c r="ED157" s="230"/>
      <c r="EE157" s="230"/>
      <c r="EF157" s="230"/>
      <c r="EG157" s="230"/>
      <c r="EH157" s="230"/>
      <c r="EI157" s="230"/>
      <c r="EJ157" s="230"/>
      <c r="EK157" s="230"/>
      <c r="EL157" s="230"/>
      <c r="EM157" s="230"/>
      <c r="EN157" s="230"/>
      <c r="EO157" s="230"/>
      <c r="EP157" s="230"/>
      <c r="EQ157" s="230"/>
      <c r="ER157" s="230"/>
      <c r="ES157" s="230"/>
      <c r="ET157" s="230"/>
      <c r="EU157" s="230"/>
      <c r="EV157" s="230"/>
      <c r="EW157" s="230"/>
      <c r="EX157" s="230"/>
      <c r="EY157" s="230"/>
      <c r="EZ157" s="230"/>
      <c r="FA157" s="230"/>
      <c r="FB157" s="230"/>
      <c r="FC157" s="230"/>
      <c r="FD157" s="230"/>
      <c r="FE157" s="230"/>
      <c r="FF157" s="230"/>
      <c r="FG157" s="230"/>
      <c r="FH157" s="230"/>
      <c r="FI157" s="230"/>
      <c r="FJ157" s="230"/>
      <c r="FK157" s="230"/>
      <c r="FL157" s="230"/>
      <c r="FM157" s="230"/>
      <c r="FN157" s="230"/>
      <c r="FO157" s="230"/>
      <c r="FP157" s="230"/>
      <c r="FQ157" s="230"/>
      <c r="FR157" s="230"/>
      <c r="FS157" s="230"/>
      <c r="FT157" s="230"/>
      <c r="FU157" s="230"/>
      <c r="FV157" s="230"/>
      <c r="FW157" s="230"/>
      <c r="FX157" s="230"/>
      <c r="FY157" s="230"/>
      <c r="FZ157" s="230"/>
      <c r="GA157" s="230"/>
      <c r="GB157" s="230"/>
      <c r="GC157" s="230"/>
      <c r="GD157" s="230"/>
      <c r="GE157" s="230"/>
      <c r="GF157" s="230"/>
      <c r="GG157" s="230"/>
      <c r="GH157" s="230"/>
      <c r="GI157" s="230"/>
      <c r="GJ157" s="230"/>
      <c r="GK157" s="230"/>
      <c r="GL157" s="230"/>
      <c r="GM157" s="230"/>
      <c r="GN157" s="230"/>
      <c r="GO157" s="230"/>
      <c r="GP157" s="230"/>
      <c r="GQ157" s="230"/>
      <c r="GR157" s="230"/>
      <c r="GS157" s="230"/>
      <c r="GT157" s="230"/>
      <c r="GU157" s="230"/>
      <c r="GV157" s="230"/>
      <c r="GW157" s="230"/>
      <c r="GX157" s="230"/>
      <c r="GY157" s="230"/>
      <c r="GZ157" s="230"/>
      <c r="HA157" s="230"/>
      <c r="HB157" s="230"/>
      <c r="HC157" s="230"/>
      <c r="HD157" s="230"/>
      <c r="HE157" s="230"/>
      <c r="HF157" s="230"/>
      <c r="HG157" s="230"/>
      <c r="HH157" s="230"/>
      <c r="HI157" s="230"/>
      <c r="HJ157" s="230"/>
      <c r="HK157" s="230"/>
      <c r="HL157" s="230"/>
      <c r="HM157" s="230"/>
      <c r="HN157" s="230"/>
      <c r="HO157" s="230"/>
      <c r="HP157" s="230"/>
      <c r="HQ157" s="230"/>
      <c r="HR157" s="230"/>
      <c r="HS157" s="230"/>
      <c r="HT157" s="230"/>
      <c r="HU157" s="230"/>
      <c r="HV157" s="230"/>
      <c r="HW157" s="230"/>
      <c r="HX157" s="230"/>
      <c r="HY157" s="230"/>
      <c r="HZ157" s="230"/>
      <c r="IA157" s="230"/>
      <c r="IB157" s="230"/>
      <c r="IC157" s="230"/>
      <c r="ID157" s="230"/>
      <c r="IE157" s="230"/>
      <c r="IF157" s="230"/>
      <c r="IG157" s="230"/>
      <c r="IH157" s="230"/>
      <c r="II157" s="230"/>
      <c r="IJ157" s="230"/>
      <c r="IK157" s="230"/>
      <c r="IL157" s="230"/>
      <c r="IM157" s="230"/>
      <c r="IN157" s="230"/>
      <c r="IO157" s="230"/>
      <c r="IP157" s="230"/>
    </row>
    <row r="158" spans="1:250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79"/>
      <c r="BN158" s="179"/>
      <c r="BO158" s="179"/>
      <c r="BP158" s="179"/>
      <c r="BQ158" s="179"/>
      <c r="BR158" s="179"/>
      <c r="BS158" s="179"/>
      <c r="BT158" s="179"/>
      <c r="BU158" s="179"/>
      <c r="BV158" s="179"/>
      <c r="BW158" s="179"/>
      <c r="BX158" s="179"/>
      <c r="BY158" s="179"/>
      <c r="BZ158" s="179"/>
      <c r="CA158" s="179"/>
      <c r="CB158" s="179"/>
      <c r="CC158" s="179"/>
      <c r="CD158" s="179"/>
      <c r="CE158" s="179"/>
      <c r="CF158" s="179"/>
      <c r="CG158" s="179"/>
      <c r="CH158" s="179"/>
      <c r="CI158" s="179"/>
      <c r="CJ158" s="179"/>
      <c r="CK158" s="179"/>
      <c r="CL158" s="179"/>
      <c r="CM158" s="179"/>
      <c r="CN158" s="179"/>
      <c r="CO158" s="179"/>
      <c r="CP158" s="179"/>
      <c r="CQ158" s="179"/>
      <c r="CR158" s="179"/>
      <c r="CS158" s="179"/>
      <c r="CT158" s="179"/>
      <c r="CU158" s="179"/>
      <c r="CV158" s="179"/>
      <c r="CW158" s="179"/>
      <c r="CX158" s="179"/>
      <c r="CY158" s="179"/>
      <c r="CZ158" s="179"/>
      <c r="DA158" s="179"/>
      <c r="DB158" s="179"/>
      <c r="DC158" s="179"/>
      <c r="DD158" s="179"/>
      <c r="DE158" s="179"/>
      <c r="DF158" s="179"/>
      <c r="DG158" s="179"/>
      <c r="DH158" s="179"/>
      <c r="DI158" s="179"/>
      <c r="DJ158" s="179"/>
      <c r="DK158" s="179"/>
      <c r="DL158" s="179"/>
      <c r="DM158" s="179"/>
      <c r="DN158" s="179"/>
      <c r="DO158" s="179"/>
      <c r="DP158" s="179"/>
      <c r="DQ158" s="179"/>
      <c r="DR158" s="179"/>
      <c r="DS158" s="179"/>
      <c r="DT158" s="179"/>
      <c r="DU158" s="179"/>
      <c r="DV158" s="179"/>
      <c r="DW158" s="179"/>
      <c r="DX158" s="179"/>
      <c r="DY158" s="179"/>
      <c r="DZ158" s="179"/>
      <c r="EA158" s="179"/>
      <c r="EB158" s="179"/>
      <c r="EC158" s="179"/>
      <c r="ED158" s="179"/>
      <c r="EE158" s="179"/>
      <c r="EF158" s="179"/>
      <c r="EG158" s="179"/>
      <c r="EH158" s="179"/>
      <c r="EI158" s="179"/>
      <c r="EJ158" s="179"/>
      <c r="EK158" s="179"/>
      <c r="EL158" s="179"/>
      <c r="EM158" s="179"/>
      <c r="EN158" s="179"/>
      <c r="EO158" s="179"/>
      <c r="EP158" s="179"/>
      <c r="EQ158" s="179"/>
      <c r="ER158" s="179"/>
      <c r="ES158" s="179"/>
      <c r="ET158" s="179"/>
      <c r="EU158" s="179"/>
      <c r="EV158" s="179"/>
      <c r="EW158" s="179"/>
      <c r="EX158" s="179"/>
      <c r="EY158" s="179"/>
      <c r="EZ158" s="179"/>
      <c r="FA158" s="179"/>
      <c r="FB158" s="179"/>
      <c r="FC158" s="179"/>
      <c r="FD158" s="179"/>
      <c r="FE158" s="179"/>
      <c r="FF158" s="179"/>
      <c r="FG158" s="179"/>
      <c r="FH158" s="179"/>
      <c r="FI158" s="179"/>
      <c r="FJ158" s="179"/>
      <c r="FK158" s="179"/>
      <c r="FL158" s="179"/>
      <c r="FM158" s="179"/>
      <c r="FN158" s="179"/>
      <c r="FO158" s="179"/>
      <c r="FP158" s="179"/>
      <c r="FQ158" s="179"/>
      <c r="FR158" s="179"/>
      <c r="FS158" s="179"/>
      <c r="FT158" s="179"/>
      <c r="FU158" s="179"/>
      <c r="FV158" s="179"/>
      <c r="FW158" s="179"/>
      <c r="FX158" s="179"/>
      <c r="FY158" s="179"/>
      <c r="FZ158" s="179"/>
      <c r="GA158" s="179"/>
      <c r="GB158" s="179"/>
      <c r="GC158" s="179"/>
      <c r="GD158" s="179"/>
      <c r="GE158" s="179"/>
      <c r="GF158" s="179"/>
      <c r="GG158" s="179"/>
      <c r="GH158" s="179"/>
      <c r="GI158" s="179"/>
      <c r="GJ158" s="179"/>
      <c r="GK158" s="179"/>
      <c r="GL158" s="179"/>
      <c r="GM158" s="179"/>
      <c r="GN158" s="179"/>
      <c r="GO158" s="179"/>
      <c r="GP158" s="179"/>
      <c r="GQ158" s="179"/>
      <c r="GR158" s="179"/>
      <c r="GS158" s="179"/>
      <c r="GT158" s="179"/>
      <c r="GU158" s="179"/>
      <c r="GV158" s="179"/>
      <c r="GW158" s="179"/>
      <c r="GX158" s="179"/>
      <c r="GY158" s="179"/>
      <c r="GZ158" s="179"/>
      <c r="HA158" s="179"/>
      <c r="HB158" s="179"/>
      <c r="HC158" s="179"/>
      <c r="HD158" s="179"/>
      <c r="HE158" s="179"/>
      <c r="HF158" s="179"/>
      <c r="HG158" s="179"/>
      <c r="HH158" s="179"/>
      <c r="HI158" s="179"/>
      <c r="HJ158" s="179"/>
      <c r="HK158" s="179"/>
      <c r="HL158" s="179"/>
      <c r="HM158" s="179"/>
      <c r="HN158" s="179"/>
      <c r="HO158" s="179"/>
      <c r="HP158" s="179"/>
      <c r="HQ158" s="179"/>
      <c r="HR158" s="179"/>
      <c r="HS158" s="179"/>
      <c r="HT158" s="179"/>
      <c r="HU158" s="179"/>
      <c r="HV158" s="179"/>
      <c r="HW158" s="179"/>
      <c r="HX158" s="179"/>
      <c r="HY158" s="179"/>
      <c r="HZ158" s="179"/>
      <c r="IA158" s="179"/>
      <c r="IB158" s="179"/>
      <c r="IC158" s="179"/>
      <c r="ID158" s="179"/>
      <c r="IE158" s="179"/>
      <c r="IF158" s="179"/>
      <c r="IG158" s="179"/>
      <c r="IH158" s="179"/>
      <c r="II158" s="179"/>
      <c r="IJ158" s="179"/>
      <c r="IK158" s="179"/>
      <c r="IL158" s="179"/>
      <c r="IM158" s="179"/>
      <c r="IN158" s="179"/>
      <c r="IO158" s="179"/>
      <c r="IP158" s="179"/>
    </row>
    <row r="159" spans="1:250">
      <c r="A159" s="340" t="s">
        <v>605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79"/>
      <c r="BQ159" s="179"/>
      <c r="BR159" s="179"/>
      <c r="BS159" s="179"/>
      <c r="BT159" s="179"/>
      <c r="BU159" s="179"/>
      <c r="BV159" s="179"/>
      <c r="BW159" s="179"/>
      <c r="BX159" s="179"/>
      <c r="BY159" s="179"/>
      <c r="BZ159" s="179"/>
      <c r="CA159" s="179"/>
      <c r="CB159" s="179"/>
      <c r="CC159" s="179"/>
      <c r="CD159" s="179"/>
      <c r="CE159" s="179"/>
      <c r="CF159" s="179"/>
      <c r="CG159" s="179"/>
      <c r="CH159" s="179"/>
      <c r="CI159" s="179"/>
      <c r="CJ159" s="179"/>
      <c r="CK159" s="179"/>
      <c r="CL159" s="179"/>
      <c r="CM159" s="179"/>
      <c r="CN159" s="179"/>
      <c r="CO159" s="179"/>
      <c r="CP159" s="179"/>
      <c r="CQ159" s="179"/>
      <c r="CR159" s="179"/>
      <c r="CS159" s="179"/>
      <c r="CT159" s="179"/>
      <c r="CU159" s="179"/>
      <c r="CV159" s="179"/>
      <c r="CW159" s="179"/>
      <c r="CX159" s="179"/>
      <c r="CY159" s="179"/>
      <c r="CZ159" s="179"/>
      <c r="DA159" s="179"/>
      <c r="DB159" s="179"/>
      <c r="DC159" s="179"/>
      <c r="DD159" s="179"/>
      <c r="DE159" s="179"/>
      <c r="DF159" s="179"/>
      <c r="DG159" s="179"/>
      <c r="DH159" s="179"/>
      <c r="DI159" s="179"/>
      <c r="DJ159" s="179"/>
      <c r="DK159" s="179"/>
      <c r="DL159" s="179"/>
      <c r="DM159" s="179"/>
      <c r="DN159" s="179"/>
      <c r="DO159" s="179"/>
      <c r="DP159" s="179"/>
      <c r="DQ159" s="179"/>
      <c r="DR159" s="179"/>
      <c r="DS159" s="179"/>
      <c r="DT159" s="179"/>
      <c r="DU159" s="179"/>
      <c r="DV159" s="179"/>
      <c r="DW159" s="179"/>
      <c r="DX159" s="179"/>
      <c r="DY159" s="179"/>
      <c r="DZ159" s="179"/>
      <c r="EA159" s="179"/>
      <c r="EB159" s="179"/>
      <c r="EC159" s="179"/>
      <c r="ED159" s="179"/>
      <c r="EE159" s="179"/>
      <c r="EF159" s="179"/>
      <c r="EG159" s="179"/>
      <c r="EH159" s="179"/>
      <c r="EI159" s="179"/>
      <c r="EJ159" s="179"/>
      <c r="EK159" s="179"/>
      <c r="EL159" s="179"/>
      <c r="EM159" s="179"/>
      <c r="EN159" s="179"/>
      <c r="EO159" s="179"/>
      <c r="EP159" s="179"/>
      <c r="EQ159" s="179"/>
      <c r="ER159" s="179"/>
      <c r="ES159" s="179"/>
      <c r="ET159" s="179"/>
      <c r="EU159" s="179"/>
      <c r="EV159" s="179"/>
      <c r="EW159" s="179"/>
      <c r="EX159" s="179"/>
      <c r="EY159" s="179"/>
      <c r="EZ159" s="179"/>
      <c r="FA159" s="179"/>
      <c r="FB159" s="179"/>
      <c r="FC159" s="179"/>
      <c r="FD159" s="179"/>
      <c r="FE159" s="179"/>
      <c r="FF159" s="179"/>
      <c r="FG159" s="179"/>
      <c r="FH159" s="179"/>
      <c r="FI159" s="179"/>
      <c r="FJ159" s="179"/>
      <c r="FK159" s="179"/>
      <c r="FL159" s="179"/>
      <c r="FM159" s="179"/>
      <c r="FN159" s="179"/>
      <c r="FO159" s="179"/>
      <c r="FP159" s="179"/>
      <c r="FQ159" s="179"/>
      <c r="FR159" s="179"/>
      <c r="FS159" s="179"/>
      <c r="FT159" s="179"/>
      <c r="FU159" s="179"/>
      <c r="FV159" s="179"/>
      <c r="FW159" s="179"/>
      <c r="FX159" s="179"/>
      <c r="FY159" s="179"/>
      <c r="FZ159" s="179"/>
      <c r="GA159" s="179"/>
      <c r="GB159" s="179"/>
      <c r="GC159" s="179"/>
      <c r="GD159" s="179"/>
      <c r="GE159" s="179"/>
      <c r="GF159" s="179"/>
      <c r="GG159" s="179"/>
      <c r="GH159" s="179"/>
      <c r="GI159" s="179"/>
      <c r="GJ159" s="179"/>
      <c r="GK159" s="179"/>
      <c r="GL159" s="179"/>
      <c r="GM159" s="179"/>
      <c r="GN159" s="179"/>
      <c r="GO159" s="179"/>
      <c r="GP159" s="179"/>
      <c r="GQ159" s="179"/>
      <c r="GR159" s="179"/>
      <c r="GS159" s="179"/>
      <c r="GT159" s="179"/>
      <c r="GU159" s="179"/>
      <c r="GV159" s="179"/>
      <c r="GW159" s="179"/>
      <c r="GX159" s="179"/>
      <c r="GY159" s="179"/>
      <c r="GZ159" s="179"/>
      <c r="HA159" s="179"/>
      <c r="HB159" s="179"/>
      <c r="HC159" s="179"/>
      <c r="HD159" s="179"/>
      <c r="HE159" s="179"/>
      <c r="HF159" s="179"/>
      <c r="HG159" s="179"/>
      <c r="HH159" s="179"/>
      <c r="HI159" s="179"/>
      <c r="HJ159" s="179"/>
      <c r="HK159" s="179"/>
      <c r="HL159" s="179"/>
      <c r="HM159" s="179"/>
      <c r="HN159" s="179"/>
      <c r="HO159" s="179"/>
      <c r="HP159" s="179"/>
      <c r="HQ159" s="179"/>
      <c r="HR159" s="179"/>
      <c r="HS159" s="179"/>
      <c r="HT159" s="179"/>
      <c r="HU159" s="179"/>
      <c r="HV159" s="179"/>
      <c r="HW159" s="179"/>
      <c r="HX159" s="179"/>
      <c r="HY159" s="179"/>
      <c r="HZ159" s="179"/>
      <c r="IA159" s="179"/>
      <c r="IB159" s="179"/>
      <c r="IC159" s="179"/>
      <c r="ID159" s="179"/>
      <c r="IE159" s="179"/>
      <c r="IF159" s="179"/>
      <c r="IG159" s="179"/>
      <c r="IH159" s="179"/>
      <c r="II159" s="179"/>
      <c r="IJ159" s="179"/>
      <c r="IK159" s="179"/>
      <c r="IL159" s="179"/>
      <c r="IM159" s="179"/>
      <c r="IN159" s="179"/>
      <c r="IO159" s="179"/>
      <c r="IP159" s="179"/>
    </row>
    <row r="161" spans="1:8">
      <c r="A161" s="321" t="s">
        <v>519</v>
      </c>
      <c r="B161">
        <f>3262300/45797.5*B133</f>
        <v>66667.101260985859</v>
      </c>
      <c r="H161">
        <v>6</v>
      </c>
    </row>
    <row r="162" spans="1:8">
      <c r="B162" s="276">
        <f>B161+B143</f>
        <v>265023.44851445168</v>
      </c>
    </row>
    <row r="163" spans="1:8">
      <c r="B163">
        <f>B162/B143</f>
        <v>1.3360976453947127</v>
      </c>
    </row>
    <row r="164" spans="1:8">
      <c r="B164">
        <v>1.48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fitToWidth="4" fitToHeight="4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22"/>
  <sheetViews>
    <sheetView topLeftCell="A85" workbookViewId="0">
      <selection activeCell="A89" sqref="A89:B117"/>
    </sheetView>
  </sheetViews>
  <sheetFormatPr defaultRowHeight="15"/>
  <cols>
    <col min="1" max="1" width="96.42578125" customWidth="1"/>
    <col min="2" max="2" width="15.7109375" customWidth="1"/>
    <col min="3" max="3" width="13.5703125" customWidth="1"/>
    <col min="6" max="6" width="10.5703125" customWidth="1"/>
  </cols>
  <sheetData>
    <row r="1" spans="1:4" ht="15.75">
      <c r="A1" s="701" t="s">
        <v>364</v>
      </c>
      <c r="B1" s="701"/>
      <c r="C1" s="701"/>
    </row>
    <row r="2" spans="1:4" ht="15.75">
      <c r="A2" s="702" t="s">
        <v>248</v>
      </c>
      <c r="B2" s="702"/>
      <c r="C2" s="702"/>
    </row>
    <row r="3" spans="1:4" s="55" customFormat="1" ht="15.75">
      <c r="A3" s="702" t="s">
        <v>1028</v>
      </c>
      <c r="B3" s="702"/>
      <c r="C3" s="702"/>
    </row>
    <row r="4" spans="1:4" s="55" customFormat="1" ht="15.75">
      <c r="A4" s="140"/>
      <c r="B4" s="86"/>
      <c r="C4" s="86"/>
    </row>
    <row r="5" spans="1:4" ht="30">
      <c r="A5" s="203" t="s">
        <v>229</v>
      </c>
      <c r="B5" s="83" t="s">
        <v>231</v>
      </c>
      <c r="C5" s="82" t="s">
        <v>523</v>
      </c>
    </row>
    <row r="6" spans="1:4" ht="15.75" thickBot="1">
      <c r="A6" s="203" t="s">
        <v>229</v>
      </c>
      <c r="B6" s="73"/>
      <c r="C6" s="73"/>
    </row>
    <row r="7" spans="1:4" ht="15.75" thickBot="1">
      <c r="A7" s="205" t="s">
        <v>56</v>
      </c>
      <c r="B7" s="72"/>
      <c r="C7" s="72"/>
    </row>
    <row r="8" spans="1:4" ht="15.75" thickBot="1">
      <c r="A8" s="204" t="s">
        <v>57</v>
      </c>
      <c r="B8" s="72"/>
      <c r="C8" s="72"/>
    </row>
    <row r="9" spans="1:4" s="73" customFormat="1" ht="29.25" thickBot="1">
      <c r="A9" s="131" t="s">
        <v>1042</v>
      </c>
      <c r="B9" s="72" t="s">
        <v>1043</v>
      </c>
      <c r="C9" s="72">
        <v>12</v>
      </c>
    </row>
    <row r="10" spans="1:4" s="73" customFormat="1" ht="29.25" thickBot="1">
      <c r="A10" s="302" t="s">
        <v>1044</v>
      </c>
      <c r="B10" s="72" t="s">
        <v>424</v>
      </c>
      <c r="C10" s="72">
        <v>4</v>
      </c>
    </row>
    <row r="11" spans="1:4" s="73" customFormat="1">
      <c r="A11" s="301" t="s">
        <v>1045</v>
      </c>
      <c r="B11" s="72" t="s">
        <v>263</v>
      </c>
      <c r="C11" s="72">
        <v>8</v>
      </c>
    </row>
    <row r="12" spans="1:4" s="73" customFormat="1" ht="15" customHeight="1">
      <c r="A12" s="301" t="s">
        <v>1046</v>
      </c>
      <c r="B12" s="72" t="s">
        <v>1047</v>
      </c>
      <c r="C12" s="72">
        <v>16</v>
      </c>
    </row>
    <row r="13" spans="1:4" s="73" customFormat="1">
      <c r="A13" s="301" t="s">
        <v>1048</v>
      </c>
      <c r="B13" s="72" t="s">
        <v>1049</v>
      </c>
      <c r="C13" s="72">
        <v>1</v>
      </c>
    </row>
    <row r="14" spans="1:4" s="73" customFormat="1">
      <c r="A14" s="305" t="s">
        <v>1054</v>
      </c>
      <c r="B14" s="72" t="s">
        <v>851</v>
      </c>
      <c r="C14" s="72">
        <v>6</v>
      </c>
    </row>
    <row r="15" spans="1:4" s="73" customFormat="1" ht="42.75" customHeight="1">
      <c r="A15" s="305" t="s">
        <v>1057</v>
      </c>
      <c r="B15" s="94" t="s">
        <v>1058</v>
      </c>
      <c r="C15" s="72">
        <v>16</v>
      </c>
      <c r="D15" s="73" t="s">
        <v>1059</v>
      </c>
    </row>
    <row r="16" spans="1:4" s="73" customFormat="1">
      <c r="A16" s="305" t="s">
        <v>1060</v>
      </c>
      <c r="B16" s="72" t="s">
        <v>1061</v>
      </c>
      <c r="C16" s="72">
        <v>2</v>
      </c>
    </row>
    <row r="17" spans="1:4" s="73" customFormat="1">
      <c r="A17" s="305" t="s">
        <v>1063</v>
      </c>
      <c r="B17" s="72" t="s">
        <v>253</v>
      </c>
      <c r="C17" s="72">
        <v>7</v>
      </c>
    </row>
    <row r="18" spans="1:4" s="73" customFormat="1">
      <c r="A18" s="305" t="s">
        <v>1064</v>
      </c>
      <c r="B18" s="72" t="s">
        <v>253</v>
      </c>
      <c r="C18" s="72">
        <v>7</v>
      </c>
    </row>
    <row r="19" spans="1:4" s="73" customFormat="1" ht="30">
      <c r="A19" s="305" t="s">
        <v>1068</v>
      </c>
      <c r="B19" s="94" t="s">
        <v>352</v>
      </c>
      <c r="C19" s="72">
        <v>8</v>
      </c>
    </row>
    <row r="20" spans="1:4" s="73" customFormat="1">
      <c r="A20" s="305" t="s">
        <v>1062</v>
      </c>
      <c r="B20" s="72" t="s">
        <v>253</v>
      </c>
      <c r="C20" s="72">
        <v>7</v>
      </c>
    </row>
    <row r="21" spans="1:4" s="73" customFormat="1">
      <c r="A21" s="305" t="s">
        <v>1066</v>
      </c>
      <c r="B21" s="72" t="s">
        <v>1067</v>
      </c>
      <c r="C21" s="72">
        <v>6</v>
      </c>
    </row>
    <row r="22" spans="1:4" s="73" customFormat="1" ht="28.5">
      <c r="A22" s="310" t="s">
        <v>1077</v>
      </c>
      <c r="B22" s="72" t="s">
        <v>1071</v>
      </c>
      <c r="C22" s="72">
        <v>3</v>
      </c>
    </row>
    <row r="23" spans="1:4" s="73" customFormat="1">
      <c r="A23" s="310" t="s">
        <v>1078</v>
      </c>
      <c r="B23" s="72" t="s">
        <v>842</v>
      </c>
      <c r="C23" s="72">
        <v>6</v>
      </c>
    </row>
    <row r="24" spans="1:4" s="73" customFormat="1">
      <c r="A24" s="311" t="s">
        <v>1079</v>
      </c>
      <c r="B24" s="311" t="s">
        <v>373</v>
      </c>
      <c r="C24" s="72">
        <v>1</v>
      </c>
      <c r="D24" s="86"/>
    </row>
    <row r="25" spans="1:4" ht="42.75">
      <c r="A25" s="153" t="s">
        <v>1089</v>
      </c>
      <c r="B25" s="149" t="s">
        <v>282</v>
      </c>
      <c r="C25" s="148">
        <v>30</v>
      </c>
    </row>
    <row r="26" spans="1:4" s="73" customFormat="1" ht="28.5">
      <c r="A26" s="310" t="s">
        <v>1090</v>
      </c>
      <c r="B26" s="129" t="s">
        <v>866</v>
      </c>
      <c r="C26" s="72">
        <v>2</v>
      </c>
    </row>
    <row r="27" spans="1:4" s="73" customFormat="1" ht="28.5">
      <c r="A27" s="310" t="s">
        <v>1091</v>
      </c>
      <c r="B27" s="129" t="s">
        <v>1092</v>
      </c>
      <c r="C27" s="72">
        <v>6</v>
      </c>
    </row>
    <row r="28" spans="1:4" s="73" customFormat="1" ht="30">
      <c r="A28" s="310" t="s">
        <v>1093</v>
      </c>
      <c r="B28" s="144" t="s">
        <v>1094</v>
      </c>
      <c r="C28" s="72">
        <v>14</v>
      </c>
    </row>
    <row r="29" spans="1:4" s="73" customFormat="1" ht="30">
      <c r="A29" s="310" t="s">
        <v>1098</v>
      </c>
      <c r="B29" s="144" t="s">
        <v>295</v>
      </c>
      <c r="C29" s="72">
        <v>12</v>
      </c>
    </row>
    <row r="30" spans="1:4" s="73" customFormat="1" ht="20.25" customHeight="1">
      <c r="A30" s="310" t="s">
        <v>1104</v>
      </c>
      <c r="B30" s="144" t="s">
        <v>1103</v>
      </c>
      <c r="C30" s="72">
        <v>8</v>
      </c>
    </row>
    <row r="31" spans="1:4" s="73" customFormat="1" ht="18" customHeight="1">
      <c r="A31" s="310" t="s">
        <v>1100</v>
      </c>
      <c r="B31" s="144" t="s">
        <v>901</v>
      </c>
      <c r="C31" s="72">
        <v>4</v>
      </c>
    </row>
    <row r="32" spans="1:4" s="73" customFormat="1" ht="18" customHeight="1">
      <c r="A32" s="310" t="s">
        <v>1101</v>
      </c>
      <c r="B32" s="144" t="s">
        <v>518</v>
      </c>
      <c r="C32" s="72"/>
    </row>
    <row r="33" spans="1:4" s="73" customFormat="1" ht="18" customHeight="1">
      <c r="A33" s="310" t="s">
        <v>1105</v>
      </c>
      <c r="B33" s="144" t="s">
        <v>1103</v>
      </c>
      <c r="C33" s="72">
        <v>8</v>
      </c>
    </row>
    <row r="34" spans="1:4" s="73" customFormat="1" ht="43.5" customHeight="1">
      <c r="A34" s="310" t="s">
        <v>1102</v>
      </c>
      <c r="B34" s="144" t="s">
        <v>901</v>
      </c>
      <c r="C34" s="72">
        <v>16</v>
      </c>
    </row>
    <row r="35" spans="1:4" s="73" customFormat="1" ht="21" customHeight="1">
      <c r="A35" s="310" t="s">
        <v>1106</v>
      </c>
      <c r="B35" s="144" t="s">
        <v>901</v>
      </c>
      <c r="C35" s="72">
        <v>4</v>
      </c>
    </row>
    <row r="36" spans="1:4" s="73" customFormat="1" ht="29.25" customHeight="1">
      <c r="A36" s="310" t="s">
        <v>1107</v>
      </c>
      <c r="B36" s="144" t="s">
        <v>410</v>
      </c>
      <c r="C36" s="72">
        <v>16</v>
      </c>
    </row>
    <row r="37" spans="1:4" s="73" customFormat="1" ht="29.25" customHeight="1">
      <c r="A37" s="310" t="s">
        <v>1110</v>
      </c>
      <c r="B37" s="144" t="s">
        <v>253</v>
      </c>
      <c r="C37" s="72">
        <v>7</v>
      </c>
    </row>
    <row r="38" spans="1:4" s="73" customFormat="1" ht="29.25" customHeight="1">
      <c r="A38" s="310" t="s">
        <v>1112</v>
      </c>
      <c r="B38" s="144" t="s">
        <v>608</v>
      </c>
      <c r="C38" s="72">
        <v>4</v>
      </c>
    </row>
    <row r="39" spans="1:4" s="73" customFormat="1" ht="29.25" customHeight="1">
      <c r="A39" s="310" t="s">
        <v>1115</v>
      </c>
      <c r="B39" s="144" t="s">
        <v>409</v>
      </c>
      <c r="C39" s="72">
        <v>4</v>
      </c>
    </row>
    <row r="40" spans="1:4">
      <c r="A40" s="207" t="s">
        <v>66</v>
      </c>
      <c r="B40" s="72"/>
      <c r="C40" s="72"/>
    </row>
    <row r="41" spans="1:4">
      <c r="A41" s="206" t="s">
        <v>590</v>
      </c>
      <c r="B41" s="72"/>
      <c r="C41" s="72"/>
    </row>
    <row r="42" spans="1:4" s="73" customFormat="1" ht="27" customHeight="1">
      <c r="A42" s="122" t="s">
        <v>1029</v>
      </c>
      <c r="B42" s="143" t="s">
        <v>1030</v>
      </c>
      <c r="C42" s="123">
        <f>5*8*2</f>
        <v>80</v>
      </c>
      <c r="D42" s="75">
        <v>9</v>
      </c>
    </row>
    <row r="43" spans="1:4" s="73" customFormat="1" ht="27" customHeight="1">
      <c r="A43" s="122" t="s">
        <v>1032</v>
      </c>
      <c r="B43" s="143" t="s">
        <v>1033</v>
      </c>
      <c r="C43" s="123">
        <v>6</v>
      </c>
      <c r="D43" s="75"/>
    </row>
    <row r="44" spans="1:4" s="73" customFormat="1" ht="27" customHeight="1">
      <c r="A44" s="122" t="s">
        <v>1035</v>
      </c>
      <c r="B44" s="143" t="s">
        <v>341</v>
      </c>
      <c r="C44" s="123">
        <v>2</v>
      </c>
      <c r="D44" s="75"/>
    </row>
    <row r="45" spans="1:4">
      <c r="A45" s="300" t="s">
        <v>1031</v>
      </c>
      <c r="B45" s="72" t="s">
        <v>362</v>
      </c>
      <c r="C45" s="72">
        <v>14</v>
      </c>
      <c r="D45" s="75">
        <v>2</v>
      </c>
    </row>
    <row r="46" spans="1:4" s="73" customFormat="1">
      <c r="A46" s="72" t="s">
        <v>1040</v>
      </c>
      <c r="B46" s="72" t="s">
        <v>1041</v>
      </c>
      <c r="C46" s="72">
        <v>6</v>
      </c>
      <c r="D46" s="73">
        <v>2.5</v>
      </c>
    </row>
    <row r="47" spans="1:4" s="73" customFormat="1" ht="30">
      <c r="A47" s="125" t="s">
        <v>1053</v>
      </c>
      <c r="B47" s="144" t="s">
        <v>341</v>
      </c>
      <c r="C47" s="129">
        <v>8</v>
      </c>
      <c r="D47" s="73">
        <v>8</v>
      </c>
    </row>
    <row r="48" spans="1:4" s="73" customFormat="1">
      <c r="A48" s="132" t="s">
        <v>1070</v>
      </c>
      <c r="B48" s="72" t="s">
        <v>418</v>
      </c>
      <c r="C48" s="72">
        <v>4</v>
      </c>
    </row>
    <row r="49" spans="1:4" s="73" customFormat="1" ht="28.5">
      <c r="A49" s="132" t="s">
        <v>1073</v>
      </c>
      <c r="B49" s="72" t="s">
        <v>1071</v>
      </c>
      <c r="C49" s="72">
        <v>6</v>
      </c>
    </row>
    <row r="50" spans="1:4" s="73" customFormat="1" ht="28.5">
      <c r="A50" s="308" t="s">
        <v>1074</v>
      </c>
      <c r="B50" s="72" t="s">
        <v>263</v>
      </c>
      <c r="C50" s="72">
        <v>2</v>
      </c>
    </row>
    <row r="51" spans="1:4" s="73" customFormat="1">
      <c r="A51" s="308" t="s">
        <v>1075</v>
      </c>
      <c r="B51" s="72" t="s">
        <v>1076</v>
      </c>
      <c r="C51" s="72">
        <v>4</v>
      </c>
    </row>
    <row r="52" spans="1:4" s="73" customFormat="1" ht="21" customHeight="1">
      <c r="A52" s="311" t="s">
        <v>1080</v>
      </c>
      <c r="B52" s="145" t="s">
        <v>1081</v>
      </c>
      <c r="C52" s="72">
        <v>5</v>
      </c>
      <c r="D52" s="86"/>
    </row>
    <row r="53" spans="1:4" s="73" customFormat="1" ht="29.25" customHeight="1">
      <c r="A53" s="308" t="s">
        <v>1085</v>
      </c>
      <c r="B53" s="72" t="s">
        <v>263</v>
      </c>
      <c r="C53" s="72">
        <v>3</v>
      </c>
    </row>
    <row r="54" spans="1:4" s="73" customFormat="1">
      <c r="A54" s="308" t="s">
        <v>1096</v>
      </c>
      <c r="B54" s="72" t="s">
        <v>341</v>
      </c>
      <c r="C54" s="72">
        <v>2</v>
      </c>
    </row>
    <row r="55" spans="1:4" s="73" customFormat="1">
      <c r="A55" s="308" t="s">
        <v>1113</v>
      </c>
      <c r="B55" s="72" t="s">
        <v>641</v>
      </c>
      <c r="C55" s="72">
        <v>12</v>
      </c>
    </row>
    <row r="56" spans="1:4" s="73" customFormat="1" ht="42.75">
      <c r="A56" s="308" t="s">
        <v>1119</v>
      </c>
      <c r="B56" s="72" t="s">
        <v>1120</v>
      </c>
      <c r="C56" s="72">
        <v>12</v>
      </c>
    </row>
    <row r="57" spans="1:4" s="73" customFormat="1" ht="20.25" customHeight="1">
      <c r="A57" s="308" t="s">
        <v>1116</v>
      </c>
      <c r="B57" s="94" t="s">
        <v>1117</v>
      </c>
      <c r="C57" s="72">
        <v>4</v>
      </c>
    </row>
    <row r="58" spans="1:4" s="73" customFormat="1">
      <c r="A58" s="309" t="s">
        <v>1118</v>
      </c>
      <c r="B58" s="72" t="s">
        <v>873</v>
      </c>
      <c r="C58" s="72">
        <v>3</v>
      </c>
    </row>
    <row r="59" spans="1:4" s="73" customFormat="1" ht="30.75" customHeight="1">
      <c r="A59" s="307" t="s">
        <v>1121</v>
      </c>
      <c r="B59" s="72" t="s">
        <v>1117</v>
      </c>
      <c r="C59" s="72">
        <v>12</v>
      </c>
    </row>
    <row r="60" spans="1:4" ht="15.75" customHeight="1">
      <c r="A60" s="209" t="s">
        <v>102</v>
      </c>
      <c r="B60" s="72" t="s">
        <v>241</v>
      </c>
      <c r="C60" s="72"/>
    </row>
    <row r="61" spans="1:4" s="73" customFormat="1">
      <c r="A61" s="303" t="s">
        <v>1034</v>
      </c>
      <c r="B61" s="72" t="s">
        <v>241</v>
      </c>
      <c r="C61" s="72">
        <v>1</v>
      </c>
    </row>
    <row r="62" spans="1:4" s="73" customFormat="1">
      <c r="A62" s="303" t="s">
        <v>1036</v>
      </c>
      <c r="B62" s="72" t="s">
        <v>241</v>
      </c>
      <c r="C62" s="72">
        <v>1</v>
      </c>
    </row>
    <row r="63" spans="1:4" s="73" customFormat="1">
      <c r="A63" s="303" t="s">
        <v>1037</v>
      </c>
      <c r="B63" s="72" t="s">
        <v>241</v>
      </c>
      <c r="C63" s="72">
        <v>2</v>
      </c>
    </row>
    <row r="64" spans="1:4" s="73" customFormat="1">
      <c r="A64" s="303" t="s">
        <v>1039</v>
      </c>
      <c r="B64" s="72" t="s">
        <v>241</v>
      </c>
      <c r="C64" s="72">
        <v>1</v>
      </c>
    </row>
    <row r="65" spans="1:3" s="73" customFormat="1">
      <c r="A65" s="306" t="s">
        <v>1050</v>
      </c>
      <c r="B65" s="72" t="s">
        <v>241</v>
      </c>
      <c r="C65" s="72">
        <v>1</v>
      </c>
    </row>
    <row r="66" spans="1:3" s="73" customFormat="1" ht="28.5">
      <c r="A66" s="306" t="s">
        <v>1055</v>
      </c>
      <c r="B66" s="72" t="s">
        <v>241</v>
      </c>
      <c r="C66" s="72">
        <v>1</v>
      </c>
    </row>
    <row r="67" spans="1:3" s="73" customFormat="1">
      <c r="A67" s="306" t="s">
        <v>1056</v>
      </c>
      <c r="B67" s="72" t="s">
        <v>241</v>
      </c>
      <c r="C67" s="72">
        <v>1</v>
      </c>
    </row>
    <row r="68" spans="1:3" s="73" customFormat="1" ht="28.5">
      <c r="A68" s="303" t="s">
        <v>1038</v>
      </c>
      <c r="B68" s="72" t="s">
        <v>241</v>
      </c>
      <c r="C68" s="72">
        <v>1</v>
      </c>
    </row>
    <row r="69" spans="1:3" s="73" customFormat="1">
      <c r="A69" s="306" t="s">
        <v>1051</v>
      </c>
      <c r="B69" s="72" t="s">
        <v>241</v>
      </c>
      <c r="C69" s="72">
        <v>1.5</v>
      </c>
    </row>
    <row r="70" spans="1:3" s="73" customFormat="1">
      <c r="A70" s="306" t="s">
        <v>1052</v>
      </c>
      <c r="B70" s="72" t="s">
        <v>241</v>
      </c>
      <c r="C70" s="72">
        <v>1</v>
      </c>
    </row>
    <row r="71" spans="1:3" s="73" customFormat="1">
      <c r="A71" s="306" t="s">
        <v>1065</v>
      </c>
      <c r="B71" s="72" t="s">
        <v>241</v>
      </c>
      <c r="C71" s="72">
        <v>1</v>
      </c>
    </row>
    <row r="72" spans="1:3" s="73" customFormat="1">
      <c r="A72" s="306" t="s">
        <v>1069</v>
      </c>
      <c r="B72" s="72" t="s">
        <v>241</v>
      </c>
      <c r="C72" s="72">
        <v>1</v>
      </c>
    </row>
    <row r="73" spans="1:3" s="73" customFormat="1">
      <c r="A73" s="132" t="s">
        <v>1072</v>
      </c>
      <c r="B73" s="72" t="s">
        <v>241</v>
      </c>
      <c r="C73" s="72">
        <v>1</v>
      </c>
    </row>
    <row r="74" spans="1:3" s="73" customFormat="1">
      <c r="A74" s="311" t="s">
        <v>1082</v>
      </c>
      <c r="B74" s="72" t="s">
        <v>241</v>
      </c>
      <c r="C74" s="72">
        <v>1</v>
      </c>
    </row>
    <row r="75" spans="1:3" s="73" customFormat="1" ht="28.5">
      <c r="A75" s="308" t="s">
        <v>1083</v>
      </c>
      <c r="B75" s="72" t="s">
        <v>241</v>
      </c>
      <c r="C75" s="72">
        <v>1</v>
      </c>
    </row>
    <row r="76" spans="1:3" s="73" customFormat="1">
      <c r="A76" s="311" t="s">
        <v>1084</v>
      </c>
      <c r="B76" s="72" t="s">
        <v>241</v>
      </c>
      <c r="C76" s="72">
        <v>1</v>
      </c>
    </row>
    <row r="77" spans="1:3" s="73" customFormat="1">
      <c r="A77" s="311" t="s">
        <v>1086</v>
      </c>
      <c r="B77" s="72" t="s">
        <v>241</v>
      </c>
      <c r="C77" s="72">
        <v>1</v>
      </c>
    </row>
    <row r="78" spans="1:3" s="73" customFormat="1">
      <c r="A78" s="308" t="s">
        <v>1087</v>
      </c>
      <c r="B78" s="72" t="s">
        <v>241</v>
      </c>
      <c r="C78" s="72">
        <v>1</v>
      </c>
    </row>
    <row r="79" spans="1:3" s="73" customFormat="1">
      <c r="A79" s="311" t="s">
        <v>1088</v>
      </c>
      <c r="B79" s="72" t="s">
        <v>241</v>
      </c>
      <c r="C79" s="72">
        <v>1</v>
      </c>
    </row>
    <row r="80" spans="1:3" s="73" customFormat="1" ht="28.5">
      <c r="A80" s="311" t="s">
        <v>1095</v>
      </c>
      <c r="B80" s="72" t="s">
        <v>241</v>
      </c>
      <c r="C80" s="72">
        <v>4</v>
      </c>
    </row>
    <row r="81" spans="1:253" s="73" customFormat="1">
      <c r="A81" s="308" t="s">
        <v>1097</v>
      </c>
      <c r="B81" s="72" t="s">
        <v>241</v>
      </c>
      <c r="C81" s="72">
        <v>1.5</v>
      </c>
    </row>
    <row r="82" spans="1:253" s="73" customFormat="1">
      <c r="A82" s="308" t="s">
        <v>1099</v>
      </c>
      <c r="B82" s="72" t="s">
        <v>241</v>
      </c>
      <c r="C82" s="72">
        <v>1</v>
      </c>
    </row>
    <row r="83" spans="1:253" s="73" customFormat="1">
      <c r="A83" s="308" t="s">
        <v>1108</v>
      </c>
      <c r="B83" s="72" t="s">
        <v>241</v>
      </c>
      <c r="C83" s="72">
        <v>1</v>
      </c>
    </row>
    <row r="84" spans="1:253" s="73" customFormat="1">
      <c r="A84" s="308" t="s">
        <v>1109</v>
      </c>
      <c r="B84" s="72" t="s">
        <v>309</v>
      </c>
      <c r="C84" s="72">
        <v>1.5</v>
      </c>
    </row>
    <row r="85" spans="1:253" s="73" customFormat="1" ht="20.25" customHeight="1">
      <c r="A85" s="308" t="s">
        <v>1111</v>
      </c>
      <c r="B85" s="72" t="s">
        <v>241</v>
      </c>
      <c r="C85" s="72">
        <v>1</v>
      </c>
    </row>
    <row r="86" spans="1:253" s="73" customFormat="1">
      <c r="A86" s="308" t="s">
        <v>1114</v>
      </c>
      <c r="B86" s="72" t="s">
        <v>241</v>
      </c>
      <c r="C86" s="72">
        <v>1</v>
      </c>
    </row>
    <row r="87" spans="1:253">
      <c r="A87" s="134" t="s">
        <v>587</v>
      </c>
      <c r="B87" s="72"/>
      <c r="C87" s="72">
        <f>SUM(C7:C86)</f>
        <v>461.5</v>
      </c>
      <c r="D87">
        <v>77</v>
      </c>
    </row>
    <row r="88" spans="1:253" ht="18.75" customHeight="1">
      <c r="A88" s="1"/>
      <c r="B88" s="73"/>
      <c r="C88" s="73"/>
    </row>
    <row r="89" spans="1:253" s="179" customFormat="1" ht="40.5" customHeight="1">
      <c r="A89" s="742" t="s">
        <v>1122</v>
      </c>
      <c r="B89" s="742"/>
      <c r="IS89"/>
    </row>
    <row r="90" spans="1:253" s="179" customFormat="1" ht="40.5" customHeight="1">
      <c r="A90" s="293" t="s">
        <v>654</v>
      </c>
      <c r="B90" s="322" t="s">
        <v>1132</v>
      </c>
      <c r="C90" s="221" t="s">
        <v>1134</v>
      </c>
      <c r="IS90"/>
    </row>
    <row r="91" spans="1:253">
      <c r="A91" s="291" t="s">
        <v>593</v>
      </c>
      <c r="B91" s="323">
        <v>846.9</v>
      </c>
      <c r="C91" s="181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179"/>
      <c r="EL91" s="179"/>
      <c r="EM91" s="179"/>
      <c r="EN91" s="179"/>
      <c r="EO91" s="179"/>
      <c r="EP91" s="179"/>
      <c r="EQ91" s="179"/>
      <c r="ER91" s="179"/>
      <c r="ES91" s="179"/>
      <c r="ET91" s="179"/>
      <c r="EU91" s="179"/>
      <c r="EV91" s="179"/>
      <c r="EW91" s="179"/>
      <c r="EX91" s="179"/>
      <c r="EY91" s="179"/>
      <c r="EZ91" s="179"/>
      <c r="FA91" s="179"/>
      <c r="FB91" s="179"/>
      <c r="FC91" s="179"/>
      <c r="FD91" s="179"/>
      <c r="FE91" s="179"/>
      <c r="FF91" s="179"/>
      <c r="FG91" s="179"/>
      <c r="FH91" s="179"/>
      <c r="FI91" s="179"/>
      <c r="FJ91" s="179"/>
      <c r="FK91" s="179"/>
      <c r="FL91" s="179"/>
      <c r="FM91" s="179"/>
      <c r="FN91" s="179"/>
      <c r="FO91" s="179"/>
      <c r="FP91" s="179"/>
      <c r="FQ91" s="179"/>
      <c r="FR91" s="179"/>
      <c r="FS91" s="179"/>
      <c r="FT91" s="179"/>
      <c r="FU91" s="179"/>
      <c r="FV91" s="179"/>
      <c r="FW91" s="179"/>
      <c r="FX91" s="179"/>
      <c r="FY91" s="179"/>
      <c r="FZ91" s="179"/>
      <c r="GA91" s="179"/>
      <c r="GB91" s="179"/>
      <c r="GC91" s="179"/>
      <c r="GD91" s="179"/>
      <c r="GE91" s="179"/>
      <c r="GF91" s="179"/>
      <c r="GG91" s="179"/>
      <c r="GH91" s="179"/>
      <c r="GI91" s="179"/>
      <c r="GJ91" s="179"/>
      <c r="GK91" s="179"/>
      <c r="GL91" s="179"/>
      <c r="GM91" s="179"/>
      <c r="GN91" s="179"/>
      <c r="GO91" s="179"/>
      <c r="GP91" s="179"/>
      <c r="GQ91" s="179"/>
      <c r="GR91" s="179"/>
      <c r="GS91" s="179"/>
      <c r="GT91" s="179"/>
      <c r="GU91" s="179"/>
      <c r="GV91" s="179"/>
      <c r="GW91" s="179"/>
      <c r="GX91" s="179"/>
      <c r="GY91" s="179"/>
      <c r="GZ91" s="179"/>
      <c r="HA91" s="179"/>
      <c r="HB91" s="179"/>
      <c r="HC91" s="179"/>
      <c r="HD91" s="179"/>
      <c r="HE91" s="179"/>
      <c r="HF91" s="179"/>
      <c r="HG91" s="179"/>
      <c r="HH91" s="179"/>
      <c r="HI91" s="179"/>
      <c r="HJ91" s="179"/>
      <c r="HK91" s="179"/>
      <c r="HL91" s="179"/>
      <c r="HM91" s="179"/>
      <c r="HN91" s="179"/>
      <c r="HO91" s="179"/>
      <c r="HP91" s="179"/>
      <c r="HQ91" s="179"/>
      <c r="HR91" s="179"/>
      <c r="HS91" s="179"/>
      <c r="HT91" s="179"/>
      <c r="HU91" s="179"/>
      <c r="HV91" s="179"/>
      <c r="HW91" s="179"/>
      <c r="HX91" s="179"/>
      <c r="HY91" s="179"/>
      <c r="HZ91" s="179"/>
      <c r="IA91" s="179"/>
      <c r="IB91" s="179"/>
      <c r="IC91" s="179"/>
      <c r="ID91" s="179"/>
      <c r="IE91" s="179"/>
      <c r="IF91" s="179"/>
      <c r="IG91" s="179"/>
      <c r="IH91" s="179"/>
      <c r="II91" s="179"/>
      <c r="IJ91" s="179"/>
      <c r="IK91" s="179"/>
      <c r="IL91" s="179"/>
      <c r="IM91" s="179"/>
      <c r="IN91" s="179"/>
      <c r="IO91" s="179"/>
      <c r="IP91" s="179"/>
      <c r="IQ91" s="179"/>
      <c r="IR91" s="179"/>
    </row>
    <row r="92" spans="1:253">
      <c r="A92" s="180" t="s">
        <v>594</v>
      </c>
      <c r="B92" s="324">
        <v>17.829999999999998</v>
      </c>
      <c r="C92" s="181">
        <f>C102+C103+C104+C105+C107+C108+C110+C113+C106</f>
        <v>19.990000000000002</v>
      </c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9"/>
      <c r="CZ92" s="179"/>
      <c r="DA92" s="179"/>
      <c r="DB92" s="179"/>
      <c r="DC92" s="179"/>
      <c r="DD92" s="179"/>
      <c r="DE92" s="179"/>
      <c r="DF92" s="179"/>
      <c r="DG92" s="179"/>
      <c r="DH92" s="179"/>
      <c r="DI92" s="179"/>
      <c r="DJ92" s="179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/>
      <c r="EF92" s="179"/>
      <c r="EG92" s="179"/>
      <c r="EH92" s="179"/>
      <c r="EI92" s="179"/>
      <c r="EJ92" s="179"/>
      <c r="EK92" s="179"/>
      <c r="EL92" s="179"/>
      <c r="EM92" s="179"/>
      <c r="EN92" s="179"/>
      <c r="EO92" s="179"/>
      <c r="EP92" s="179"/>
      <c r="EQ92" s="179"/>
      <c r="ER92" s="179"/>
      <c r="ES92" s="179"/>
      <c r="ET92" s="179"/>
      <c r="EU92" s="179"/>
      <c r="EV92" s="179"/>
      <c r="EW92" s="179"/>
      <c r="EX92" s="179"/>
      <c r="EY92" s="179"/>
      <c r="EZ92" s="179"/>
      <c r="FA92" s="179"/>
      <c r="FB92" s="179"/>
      <c r="FC92" s="179"/>
      <c r="FD92" s="179"/>
      <c r="FE92" s="179"/>
      <c r="FF92" s="179"/>
      <c r="FG92" s="179"/>
      <c r="FH92" s="179"/>
      <c r="FI92" s="179"/>
      <c r="FJ92" s="179"/>
      <c r="FK92" s="179"/>
      <c r="FL92" s="179"/>
      <c r="FM92" s="179"/>
      <c r="FN92" s="179"/>
      <c r="FO92" s="179"/>
      <c r="FP92" s="179"/>
      <c r="FQ92" s="179"/>
      <c r="FR92" s="179"/>
      <c r="FS92" s="179"/>
      <c r="FT92" s="179"/>
      <c r="FU92" s="179"/>
      <c r="FV92" s="179"/>
      <c r="FW92" s="179"/>
      <c r="FX92" s="179"/>
      <c r="FY92" s="179"/>
      <c r="FZ92" s="179"/>
      <c r="GA92" s="179"/>
      <c r="GB92" s="179"/>
      <c r="GC92" s="179"/>
      <c r="GD92" s="179"/>
      <c r="GE92" s="179"/>
      <c r="GF92" s="179"/>
      <c r="GG92" s="179"/>
      <c r="GH92" s="179"/>
      <c r="GI92" s="179"/>
      <c r="GJ92" s="179"/>
      <c r="GK92" s="179"/>
      <c r="GL92" s="179"/>
      <c r="GM92" s="179"/>
      <c r="GN92" s="179"/>
      <c r="GO92" s="179"/>
      <c r="GP92" s="179"/>
      <c r="GQ92" s="179"/>
      <c r="GR92" s="179"/>
      <c r="GS92" s="179"/>
      <c r="GT92" s="179"/>
      <c r="GU92" s="179"/>
      <c r="GV92" s="179"/>
      <c r="GW92" s="179"/>
      <c r="GX92" s="179"/>
      <c r="GY92" s="179"/>
      <c r="GZ92" s="179"/>
      <c r="HA92" s="179"/>
      <c r="HB92" s="179"/>
      <c r="HC92" s="179"/>
      <c r="HD92" s="179"/>
      <c r="HE92" s="179"/>
      <c r="HF92" s="179"/>
      <c r="HG92" s="179"/>
      <c r="HH92" s="179"/>
      <c r="HI92" s="179"/>
      <c r="HJ92" s="179"/>
      <c r="HK92" s="179"/>
      <c r="HL92" s="179"/>
      <c r="HM92" s="179"/>
      <c r="HN92" s="179"/>
      <c r="HO92" s="179"/>
      <c r="HP92" s="179"/>
      <c r="HQ92" s="179"/>
      <c r="HR92" s="179"/>
      <c r="HS92" s="179"/>
      <c r="HT92" s="179"/>
      <c r="HU92" s="179"/>
      <c r="HV92" s="179"/>
      <c r="HW92" s="179"/>
      <c r="HX92" s="179"/>
      <c r="HY92" s="179"/>
      <c r="HZ92" s="179"/>
      <c r="IA92" s="179"/>
      <c r="IB92" s="179"/>
      <c r="IC92" s="179"/>
      <c r="ID92" s="179"/>
      <c r="IE92" s="179"/>
      <c r="IF92" s="179"/>
      <c r="IG92" s="179"/>
      <c r="IH92" s="179"/>
      <c r="II92" s="179"/>
      <c r="IJ92" s="179"/>
      <c r="IK92" s="179"/>
      <c r="IL92" s="179"/>
      <c r="IM92" s="179"/>
      <c r="IN92" s="179"/>
      <c r="IO92" s="179"/>
      <c r="IP92" s="179"/>
      <c r="IQ92" s="179"/>
      <c r="IR92" s="179"/>
    </row>
    <row r="93" spans="1:253">
      <c r="A93" s="181" t="s">
        <v>711</v>
      </c>
      <c r="B93" s="325">
        <v>49926.59</v>
      </c>
      <c r="C93" s="181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79"/>
      <c r="DJ93" s="179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179"/>
      <c r="EL93" s="179"/>
      <c r="EM93" s="179"/>
      <c r="EN93" s="179"/>
      <c r="EO93" s="179"/>
      <c r="EP93" s="179"/>
      <c r="EQ93" s="179"/>
      <c r="ER93" s="179"/>
      <c r="ES93" s="179"/>
      <c r="ET93" s="179"/>
      <c r="EU93" s="179"/>
      <c r="EV93" s="179"/>
      <c r="EW93" s="179"/>
      <c r="EX93" s="179"/>
      <c r="EY93" s="179"/>
      <c r="EZ93" s="179"/>
      <c r="FA93" s="179"/>
      <c r="FB93" s="179"/>
      <c r="FC93" s="179"/>
      <c r="FD93" s="179"/>
      <c r="FE93" s="179"/>
      <c r="FF93" s="179"/>
      <c r="FG93" s="179"/>
      <c r="FH93" s="179"/>
      <c r="FI93" s="179"/>
      <c r="FJ93" s="179"/>
      <c r="FK93" s="179"/>
      <c r="FL93" s="179"/>
      <c r="FM93" s="179"/>
      <c r="FN93" s="179"/>
      <c r="FO93" s="179"/>
      <c r="FP93" s="179"/>
      <c r="FQ93" s="179"/>
      <c r="FR93" s="179"/>
      <c r="FS93" s="179"/>
      <c r="FT93" s="179"/>
      <c r="FU93" s="179"/>
      <c r="FV93" s="179"/>
      <c r="FW93" s="179"/>
      <c r="FX93" s="179"/>
      <c r="FY93" s="179"/>
      <c r="FZ93" s="179"/>
      <c r="GA93" s="179"/>
      <c r="GB93" s="179"/>
      <c r="GC93" s="179"/>
      <c r="GD93" s="179"/>
      <c r="GE93" s="179"/>
      <c r="GF93" s="179"/>
      <c r="GG93" s="179"/>
      <c r="GH93" s="179"/>
      <c r="GI93" s="179"/>
      <c r="GJ93" s="179"/>
      <c r="GK93" s="179"/>
      <c r="GL93" s="179"/>
      <c r="GM93" s="179"/>
      <c r="GN93" s="179"/>
      <c r="GO93" s="179"/>
      <c r="GP93" s="179"/>
      <c r="GQ93" s="179"/>
      <c r="GR93" s="179"/>
      <c r="GS93" s="179"/>
      <c r="GT93" s="179"/>
      <c r="GU93" s="179"/>
      <c r="GV93" s="179"/>
      <c r="GW93" s="179"/>
      <c r="GX93" s="179"/>
      <c r="GY93" s="179"/>
      <c r="GZ93" s="179"/>
      <c r="HA93" s="179"/>
      <c r="HB93" s="179"/>
      <c r="HC93" s="179"/>
      <c r="HD93" s="179"/>
      <c r="HE93" s="179"/>
      <c r="HF93" s="179"/>
      <c r="HG93" s="179"/>
      <c r="HH93" s="179"/>
      <c r="HI93" s="179"/>
      <c r="HJ93" s="179"/>
      <c r="HK93" s="179"/>
      <c r="HL93" s="179"/>
      <c r="HM93" s="179"/>
      <c r="HN93" s="179"/>
      <c r="HO93" s="179"/>
      <c r="HP93" s="179"/>
      <c r="HQ93" s="179"/>
      <c r="HR93" s="179"/>
      <c r="HS93" s="179"/>
      <c r="HT93" s="179"/>
      <c r="HU93" s="179"/>
      <c r="HV93" s="179"/>
      <c r="HW93" s="179"/>
      <c r="HX93" s="179"/>
      <c r="HY93" s="179"/>
      <c r="HZ93" s="179"/>
      <c r="IA93" s="179"/>
      <c r="IB93" s="179"/>
      <c r="IC93" s="179"/>
      <c r="ID93" s="179"/>
      <c r="IE93" s="179"/>
      <c r="IF93" s="179"/>
      <c r="IG93" s="179"/>
      <c r="IH93" s="179"/>
      <c r="II93" s="179"/>
      <c r="IJ93" s="179"/>
      <c r="IK93" s="179"/>
      <c r="IL93" s="179"/>
      <c r="IM93" s="179"/>
      <c r="IN93" s="179"/>
      <c r="IO93" s="179"/>
      <c r="IP93" s="179"/>
      <c r="IQ93" s="179"/>
      <c r="IR93" s="179"/>
    </row>
    <row r="94" spans="1:253">
      <c r="A94" s="181" t="s">
        <v>1123</v>
      </c>
      <c r="B94" s="325">
        <v>181203</v>
      </c>
      <c r="C94" s="181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9"/>
      <c r="DC94" s="179"/>
      <c r="DD94" s="179"/>
      <c r="DE94" s="179"/>
      <c r="DF94" s="179"/>
      <c r="DG94" s="179"/>
      <c r="DH94" s="179"/>
      <c r="DI94" s="179"/>
      <c r="DJ94" s="179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9"/>
      <c r="EF94" s="179"/>
      <c r="EG94" s="179"/>
      <c r="EH94" s="179"/>
      <c r="EI94" s="179"/>
      <c r="EJ94" s="179"/>
      <c r="EK94" s="179"/>
      <c r="EL94" s="179"/>
      <c r="EM94" s="179"/>
      <c r="EN94" s="179"/>
      <c r="EO94" s="179"/>
      <c r="EP94" s="179"/>
      <c r="EQ94" s="179"/>
      <c r="ER94" s="179"/>
      <c r="ES94" s="179"/>
      <c r="ET94" s="179"/>
      <c r="EU94" s="179"/>
      <c r="EV94" s="179"/>
      <c r="EW94" s="179"/>
      <c r="EX94" s="179"/>
      <c r="EY94" s="179"/>
      <c r="EZ94" s="179"/>
      <c r="FA94" s="179"/>
      <c r="FB94" s="179"/>
      <c r="FC94" s="179"/>
      <c r="FD94" s="179"/>
      <c r="FE94" s="179"/>
      <c r="FF94" s="179"/>
      <c r="FG94" s="179"/>
      <c r="FH94" s="179"/>
      <c r="FI94" s="179"/>
      <c r="FJ94" s="179"/>
      <c r="FK94" s="179"/>
      <c r="FL94" s="179"/>
      <c r="FM94" s="179"/>
      <c r="FN94" s="179"/>
      <c r="FO94" s="179"/>
      <c r="FP94" s="179"/>
      <c r="FQ94" s="179"/>
      <c r="FR94" s="179"/>
      <c r="FS94" s="179"/>
      <c r="FT94" s="179"/>
      <c r="FU94" s="179"/>
      <c r="FV94" s="179"/>
      <c r="FW94" s="179"/>
      <c r="FX94" s="179"/>
      <c r="FY94" s="179"/>
      <c r="FZ94" s="179"/>
      <c r="GA94" s="179"/>
      <c r="GB94" s="179"/>
      <c r="GC94" s="179"/>
      <c r="GD94" s="179"/>
      <c r="GE94" s="179"/>
      <c r="GF94" s="179"/>
      <c r="GG94" s="179"/>
      <c r="GH94" s="179"/>
      <c r="GI94" s="179"/>
      <c r="GJ94" s="179"/>
      <c r="GK94" s="179"/>
      <c r="GL94" s="179"/>
      <c r="GM94" s="179"/>
      <c r="GN94" s="179"/>
      <c r="GO94" s="179"/>
      <c r="GP94" s="179"/>
      <c r="GQ94" s="179"/>
      <c r="GR94" s="179"/>
      <c r="GS94" s="179"/>
      <c r="GT94" s="179"/>
      <c r="GU94" s="179"/>
      <c r="GV94" s="179"/>
      <c r="GW94" s="179"/>
      <c r="GX94" s="179"/>
      <c r="GY94" s="179"/>
      <c r="GZ94" s="179"/>
      <c r="HA94" s="179"/>
      <c r="HB94" s="179"/>
      <c r="HC94" s="179"/>
      <c r="HD94" s="179"/>
      <c r="HE94" s="179"/>
      <c r="HF94" s="179"/>
      <c r="HG94" s="179"/>
      <c r="HH94" s="179"/>
      <c r="HI94" s="179"/>
      <c r="HJ94" s="179"/>
      <c r="HK94" s="179"/>
      <c r="HL94" s="179"/>
      <c r="HM94" s="179"/>
      <c r="HN94" s="179"/>
      <c r="HO94" s="179"/>
      <c r="HP94" s="179"/>
      <c r="HQ94" s="179"/>
      <c r="HR94" s="179"/>
      <c r="HS94" s="179"/>
      <c r="HT94" s="179"/>
      <c r="HU94" s="179"/>
      <c r="HV94" s="179"/>
      <c r="HW94" s="179"/>
      <c r="HX94" s="179"/>
      <c r="HY94" s="179"/>
      <c r="HZ94" s="179"/>
      <c r="IA94" s="179"/>
      <c r="IB94" s="179"/>
      <c r="IC94" s="179"/>
      <c r="ID94" s="179"/>
      <c r="IE94" s="179"/>
      <c r="IF94" s="179"/>
      <c r="IG94" s="179"/>
      <c r="IH94" s="179"/>
      <c r="II94" s="179"/>
      <c r="IJ94" s="179"/>
      <c r="IK94" s="179"/>
      <c r="IL94" s="179"/>
      <c r="IM94" s="179"/>
      <c r="IN94" s="179"/>
      <c r="IO94" s="179"/>
      <c r="IP94" s="179"/>
      <c r="IQ94" s="179"/>
      <c r="IR94" s="179"/>
    </row>
    <row r="95" spans="1:253">
      <c r="A95" s="181" t="s">
        <v>596</v>
      </c>
      <c r="B95" s="325">
        <v>2545.08</v>
      </c>
      <c r="C95" s="181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9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79"/>
      <c r="CS95" s="179"/>
      <c r="CT95" s="179"/>
      <c r="CU95" s="179"/>
      <c r="CV95" s="179"/>
      <c r="CW95" s="179"/>
      <c r="CX95" s="179"/>
      <c r="CY95" s="179"/>
      <c r="CZ95" s="179"/>
      <c r="DA95" s="179"/>
      <c r="DB95" s="179"/>
      <c r="DC95" s="179"/>
      <c r="DD95" s="179"/>
      <c r="DE95" s="179"/>
      <c r="DF95" s="179"/>
      <c r="DG95" s="179"/>
      <c r="DH95" s="179"/>
      <c r="DI95" s="179"/>
      <c r="DJ95" s="179"/>
      <c r="DK95" s="179"/>
      <c r="DL95" s="179"/>
      <c r="DM95" s="179"/>
      <c r="DN95" s="179"/>
      <c r="DO95" s="179"/>
      <c r="DP95" s="179"/>
      <c r="DQ95" s="179"/>
      <c r="DR95" s="179"/>
      <c r="DS95" s="179"/>
      <c r="DT95" s="179"/>
      <c r="DU95" s="179"/>
      <c r="DV95" s="179"/>
      <c r="DW95" s="179"/>
      <c r="DX95" s="179"/>
      <c r="DY95" s="179"/>
      <c r="DZ95" s="179"/>
      <c r="EA95" s="179"/>
      <c r="EB95" s="179"/>
      <c r="EC95" s="179"/>
      <c r="ED95" s="179"/>
      <c r="EE95" s="179"/>
      <c r="EF95" s="179"/>
      <c r="EG95" s="179"/>
      <c r="EH95" s="179"/>
      <c r="EI95" s="179"/>
      <c r="EJ95" s="179"/>
      <c r="EK95" s="179"/>
      <c r="EL95" s="179"/>
      <c r="EM95" s="179"/>
      <c r="EN95" s="179"/>
      <c r="EO95" s="179"/>
      <c r="EP95" s="179"/>
      <c r="EQ95" s="179"/>
      <c r="ER95" s="179"/>
      <c r="ES95" s="179"/>
      <c r="ET95" s="179"/>
      <c r="EU95" s="179"/>
      <c r="EV95" s="179"/>
      <c r="EW95" s="179"/>
      <c r="EX95" s="179"/>
      <c r="EY95" s="179"/>
      <c r="EZ95" s="179"/>
      <c r="FA95" s="179"/>
      <c r="FB95" s="179"/>
      <c r="FC95" s="179"/>
      <c r="FD95" s="179"/>
      <c r="FE95" s="179"/>
      <c r="FF95" s="179"/>
      <c r="FG95" s="179"/>
      <c r="FH95" s="179"/>
      <c r="FI95" s="179"/>
      <c r="FJ95" s="179"/>
      <c r="FK95" s="179"/>
      <c r="FL95" s="179"/>
      <c r="FM95" s="179"/>
      <c r="FN95" s="179"/>
      <c r="FO95" s="179"/>
      <c r="FP95" s="179"/>
      <c r="FQ95" s="179"/>
      <c r="FR95" s="179"/>
      <c r="FS95" s="179"/>
      <c r="FT95" s="179"/>
      <c r="FU95" s="179"/>
      <c r="FV95" s="179"/>
      <c r="FW95" s="179"/>
      <c r="FX95" s="179"/>
      <c r="FY95" s="179"/>
      <c r="FZ95" s="179"/>
      <c r="GA95" s="179"/>
      <c r="GB95" s="179"/>
      <c r="GC95" s="179"/>
      <c r="GD95" s="179"/>
      <c r="GE95" s="179"/>
      <c r="GF95" s="179"/>
      <c r="GG95" s="179"/>
      <c r="GH95" s="179"/>
      <c r="GI95" s="179"/>
      <c r="GJ95" s="179"/>
      <c r="GK95" s="179"/>
      <c r="GL95" s="179"/>
      <c r="GM95" s="179"/>
      <c r="GN95" s="179"/>
      <c r="GO95" s="179"/>
      <c r="GP95" s="179"/>
      <c r="GQ95" s="179"/>
      <c r="GR95" s="179"/>
      <c r="GS95" s="179"/>
      <c r="GT95" s="179"/>
      <c r="GU95" s="179"/>
      <c r="GV95" s="179"/>
      <c r="GW95" s="179"/>
      <c r="GX95" s="179"/>
      <c r="GY95" s="179"/>
      <c r="GZ95" s="179"/>
      <c r="HA95" s="179"/>
      <c r="HB95" s="179"/>
      <c r="HC95" s="179"/>
      <c r="HD95" s="179"/>
      <c r="HE95" s="179"/>
      <c r="HF95" s="179"/>
      <c r="HG95" s="179"/>
      <c r="HH95" s="179"/>
      <c r="HI95" s="179"/>
      <c r="HJ95" s="179"/>
      <c r="HK95" s="179"/>
      <c r="HL95" s="179"/>
      <c r="HM95" s="179"/>
      <c r="HN95" s="179"/>
      <c r="HO95" s="179"/>
      <c r="HP95" s="179"/>
      <c r="HQ95" s="179"/>
      <c r="HR95" s="179"/>
      <c r="HS95" s="179"/>
      <c r="HT95" s="179"/>
      <c r="HU95" s="179"/>
      <c r="HV95" s="179"/>
      <c r="HW95" s="179"/>
      <c r="HX95" s="179"/>
      <c r="HY95" s="179"/>
      <c r="HZ95" s="179"/>
      <c r="IA95" s="179"/>
      <c r="IB95" s="179"/>
      <c r="IC95" s="179"/>
      <c r="ID95" s="179"/>
      <c r="IE95" s="179"/>
      <c r="IF95" s="179"/>
      <c r="IG95" s="179"/>
      <c r="IH95" s="179"/>
      <c r="II95" s="179"/>
      <c r="IJ95" s="179"/>
      <c r="IK95" s="179"/>
      <c r="IL95" s="179"/>
      <c r="IM95" s="179"/>
      <c r="IN95" s="179"/>
      <c r="IO95" s="179"/>
      <c r="IP95" s="179"/>
      <c r="IQ95" s="179"/>
      <c r="IR95" s="179"/>
    </row>
    <row r="96" spans="1:253">
      <c r="A96" s="181" t="s">
        <v>798</v>
      </c>
      <c r="B96" s="325">
        <v>160767.20000000001</v>
      </c>
      <c r="C96" s="181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/>
      <c r="CC96" s="179"/>
      <c r="CD96" s="179"/>
      <c r="CE96" s="179"/>
      <c r="CF96" s="179"/>
      <c r="CG96" s="179"/>
      <c r="CH96" s="179"/>
      <c r="CI96" s="179"/>
      <c r="CJ96" s="179"/>
      <c r="CK96" s="179"/>
      <c r="CL96" s="179"/>
      <c r="CM96" s="179"/>
      <c r="CN96" s="179"/>
      <c r="CO96" s="179"/>
      <c r="CP96" s="179"/>
      <c r="CQ96" s="179"/>
      <c r="CR96" s="179"/>
      <c r="CS96" s="179"/>
      <c r="CT96" s="179"/>
      <c r="CU96" s="179"/>
      <c r="CV96" s="179"/>
      <c r="CW96" s="179"/>
      <c r="CX96" s="179"/>
      <c r="CY96" s="179"/>
      <c r="CZ96" s="179"/>
      <c r="DA96" s="179"/>
      <c r="DB96" s="179"/>
      <c r="DC96" s="179"/>
      <c r="DD96" s="179"/>
      <c r="DE96" s="179"/>
      <c r="DF96" s="179"/>
      <c r="DG96" s="179"/>
      <c r="DH96" s="179"/>
      <c r="DI96" s="179"/>
      <c r="DJ96" s="179"/>
      <c r="DK96" s="179"/>
      <c r="DL96" s="179"/>
      <c r="DM96" s="179"/>
      <c r="DN96" s="179"/>
      <c r="DO96" s="179"/>
      <c r="DP96" s="179"/>
      <c r="DQ96" s="179"/>
      <c r="DR96" s="179"/>
      <c r="DS96" s="179"/>
      <c r="DT96" s="179"/>
      <c r="DU96" s="179"/>
      <c r="DV96" s="179"/>
      <c r="DW96" s="179"/>
      <c r="DX96" s="179"/>
      <c r="DY96" s="179"/>
      <c r="DZ96" s="179"/>
      <c r="EA96" s="179"/>
      <c r="EB96" s="179"/>
      <c r="EC96" s="179"/>
      <c r="ED96" s="179"/>
      <c r="EE96" s="179"/>
      <c r="EF96" s="179"/>
      <c r="EG96" s="179"/>
      <c r="EH96" s="179"/>
      <c r="EI96" s="179"/>
      <c r="EJ96" s="179"/>
      <c r="EK96" s="179"/>
      <c r="EL96" s="179"/>
      <c r="EM96" s="179"/>
      <c r="EN96" s="179"/>
      <c r="EO96" s="179"/>
      <c r="EP96" s="179"/>
      <c r="EQ96" s="179"/>
      <c r="ER96" s="179"/>
      <c r="ES96" s="179"/>
      <c r="ET96" s="179"/>
      <c r="EU96" s="179"/>
      <c r="EV96" s="179"/>
      <c r="EW96" s="179"/>
      <c r="EX96" s="179"/>
      <c r="EY96" s="179"/>
      <c r="EZ96" s="179"/>
      <c r="FA96" s="179"/>
      <c r="FB96" s="179"/>
      <c r="FC96" s="179"/>
      <c r="FD96" s="179"/>
      <c r="FE96" s="179"/>
      <c r="FF96" s="179"/>
      <c r="FG96" s="179"/>
      <c r="FH96" s="179"/>
      <c r="FI96" s="179"/>
      <c r="FJ96" s="179"/>
      <c r="FK96" s="179"/>
      <c r="FL96" s="179"/>
      <c r="FM96" s="179"/>
      <c r="FN96" s="179"/>
      <c r="FO96" s="179"/>
      <c r="FP96" s="179"/>
      <c r="FQ96" s="179"/>
      <c r="FR96" s="179"/>
      <c r="FS96" s="179"/>
      <c r="FT96" s="179"/>
      <c r="FU96" s="179"/>
      <c r="FV96" s="179"/>
      <c r="FW96" s="179"/>
      <c r="FX96" s="179"/>
      <c r="FY96" s="179"/>
      <c r="FZ96" s="179"/>
      <c r="GA96" s="179"/>
      <c r="GB96" s="179"/>
      <c r="GC96" s="179"/>
      <c r="GD96" s="179"/>
      <c r="GE96" s="179"/>
      <c r="GF96" s="179"/>
      <c r="GG96" s="179"/>
      <c r="GH96" s="179"/>
      <c r="GI96" s="179"/>
      <c r="GJ96" s="179"/>
      <c r="GK96" s="179"/>
      <c r="GL96" s="179"/>
      <c r="GM96" s="179"/>
      <c r="GN96" s="179"/>
      <c r="GO96" s="179"/>
      <c r="GP96" s="179"/>
      <c r="GQ96" s="179"/>
      <c r="GR96" s="179"/>
      <c r="GS96" s="179"/>
      <c r="GT96" s="179"/>
      <c r="GU96" s="179"/>
      <c r="GV96" s="179"/>
      <c r="GW96" s="179"/>
      <c r="GX96" s="179"/>
      <c r="GY96" s="179"/>
      <c r="GZ96" s="179"/>
      <c r="HA96" s="179"/>
      <c r="HB96" s="179"/>
      <c r="HC96" s="179"/>
      <c r="HD96" s="179"/>
      <c r="HE96" s="179"/>
      <c r="HF96" s="179"/>
      <c r="HG96" s="179"/>
      <c r="HH96" s="179"/>
      <c r="HI96" s="179"/>
      <c r="HJ96" s="179"/>
      <c r="HK96" s="179"/>
      <c r="HL96" s="179"/>
      <c r="HM96" s="179"/>
      <c r="HN96" s="179"/>
      <c r="HO96" s="179"/>
      <c r="HP96" s="179"/>
      <c r="HQ96" s="179"/>
      <c r="HR96" s="179"/>
      <c r="HS96" s="179"/>
      <c r="HT96" s="179"/>
      <c r="HU96" s="179"/>
      <c r="HV96" s="179"/>
      <c r="HW96" s="179"/>
      <c r="HX96" s="179"/>
      <c r="HY96" s="179"/>
      <c r="HZ96" s="179"/>
      <c r="IA96" s="179"/>
      <c r="IB96" s="179"/>
      <c r="IC96" s="179"/>
      <c r="ID96" s="179"/>
      <c r="IE96" s="179"/>
      <c r="IF96" s="179"/>
      <c r="IG96" s="179"/>
      <c r="IH96" s="179"/>
      <c r="II96" s="179"/>
      <c r="IJ96" s="179"/>
      <c r="IK96" s="179"/>
      <c r="IL96" s="179"/>
      <c r="IM96" s="179"/>
      <c r="IN96" s="179"/>
      <c r="IO96" s="179"/>
      <c r="IP96" s="179"/>
      <c r="IQ96" s="179"/>
      <c r="IR96" s="179"/>
    </row>
    <row r="97" spans="1:252">
      <c r="A97" s="181" t="s">
        <v>1124</v>
      </c>
      <c r="B97" s="325">
        <v>77785.600000000006</v>
      </c>
      <c r="C97" s="181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79"/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79"/>
      <c r="CM97" s="179"/>
      <c r="CN97" s="179"/>
      <c r="CO97" s="179"/>
      <c r="CP97" s="179"/>
      <c r="CQ97" s="179"/>
      <c r="CR97" s="179"/>
      <c r="CS97" s="179"/>
      <c r="CT97" s="179"/>
      <c r="CU97" s="179"/>
      <c r="CV97" s="179"/>
      <c r="CW97" s="179"/>
      <c r="CX97" s="179"/>
      <c r="CY97" s="179"/>
      <c r="CZ97" s="179"/>
      <c r="DA97" s="179"/>
      <c r="DB97" s="179"/>
      <c r="DC97" s="179"/>
      <c r="DD97" s="179"/>
      <c r="DE97" s="179"/>
      <c r="DF97" s="179"/>
      <c r="DG97" s="179"/>
      <c r="DH97" s="179"/>
      <c r="DI97" s="179"/>
      <c r="DJ97" s="179"/>
      <c r="DK97" s="179"/>
      <c r="DL97" s="179"/>
      <c r="DM97" s="179"/>
      <c r="DN97" s="179"/>
      <c r="DO97" s="179"/>
      <c r="DP97" s="179"/>
      <c r="DQ97" s="179"/>
      <c r="DR97" s="179"/>
      <c r="DS97" s="179"/>
      <c r="DT97" s="179"/>
      <c r="DU97" s="179"/>
      <c r="DV97" s="179"/>
      <c r="DW97" s="179"/>
      <c r="DX97" s="179"/>
      <c r="DY97" s="179"/>
      <c r="DZ97" s="179"/>
      <c r="EA97" s="179"/>
      <c r="EB97" s="179"/>
      <c r="EC97" s="179"/>
      <c r="ED97" s="179"/>
      <c r="EE97" s="179"/>
      <c r="EF97" s="179"/>
      <c r="EG97" s="179"/>
      <c r="EH97" s="179"/>
      <c r="EI97" s="179"/>
      <c r="EJ97" s="179"/>
      <c r="EK97" s="179"/>
      <c r="EL97" s="179"/>
      <c r="EM97" s="179"/>
      <c r="EN97" s="179"/>
      <c r="EO97" s="179"/>
      <c r="EP97" s="179"/>
      <c r="EQ97" s="179"/>
      <c r="ER97" s="179"/>
      <c r="ES97" s="179"/>
      <c r="ET97" s="179"/>
      <c r="EU97" s="179"/>
      <c r="EV97" s="179"/>
      <c r="EW97" s="179"/>
      <c r="EX97" s="179"/>
      <c r="EY97" s="179"/>
      <c r="EZ97" s="179"/>
      <c r="FA97" s="179"/>
      <c r="FB97" s="179"/>
      <c r="FC97" s="179"/>
      <c r="FD97" s="179"/>
      <c r="FE97" s="179"/>
      <c r="FF97" s="179"/>
      <c r="FG97" s="179"/>
      <c r="FH97" s="179"/>
      <c r="FI97" s="179"/>
      <c r="FJ97" s="179"/>
      <c r="FK97" s="179"/>
      <c r="FL97" s="179"/>
      <c r="FM97" s="179"/>
      <c r="FN97" s="179"/>
      <c r="FO97" s="179"/>
      <c r="FP97" s="179"/>
      <c r="FQ97" s="179"/>
      <c r="FR97" s="179"/>
      <c r="FS97" s="179"/>
      <c r="FT97" s="179"/>
      <c r="FU97" s="179"/>
      <c r="FV97" s="179"/>
      <c r="FW97" s="179"/>
      <c r="FX97" s="179"/>
      <c r="FY97" s="179"/>
      <c r="FZ97" s="179"/>
      <c r="GA97" s="179"/>
      <c r="GB97" s="179"/>
      <c r="GC97" s="179"/>
      <c r="GD97" s="179"/>
      <c r="GE97" s="179"/>
      <c r="GF97" s="179"/>
      <c r="GG97" s="179"/>
      <c r="GH97" s="179"/>
      <c r="GI97" s="179"/>
      <c r="GJ97" s="179"/>
      <c r="GK97" s="179"/>
      <c r="GL97" s="179"/>
      <c r="GM97" s="179"/>
      <c r="GN97" s="179"/>
      <c r="GO97" s="179"/>
      <c r="GP97" s="179"/>
      <c r="GQ97" s="179"/>
      <c r="GR97" s="179"/>
      <c r="GS97" s="179"/>
      <c r="GT97" s="179"/>
      <c r="GU97" s="179"/>
      <c r="GV97" s="179"/>
      <c r="GW97" s="179"/>
      <c r="GX97" s="179"/>
      <c r="GY97" s="179"/>
      <c r="GZ97" s="179"/>
      <c r="HA97" s="179"/>
      <c r="HB97" s="179"/>
      <c r="HC97" s="179"/>
      <c r="HD97" s="179"/>
      <c r="HE97" s="179"/>
      <c r="HF97" s="179"/>
      <c r="HG97" s="179"/>
      <c r="HH97" s="179"/>
      <c r="HI97" s="179"/>
      <c r="HJ97" s="179"/>
      <c r="HK97" s="179"/>
      <c r="HL97" s="179"/>
      <c r="HM97" s="179"/>
      <c r="HN97" s="179"/>
      <c r="HO97" s="179"/>
      <c r="HP97" s="179"/>
      <c r="HQ97" s="179"/>
      <c r="HR97" s="179"/>
      <c r="HS97" s="179"/>
      <c r="HT97" s="179"/>
      <c r="HU97" s="179"/>
      <c r="HV97" s="179"/>
      <c r="HW97" s="179"/>
      <c r="HX97" s="179"/>
      <c r="HY97" s="179"/>
      <c r="HZ97" s="179"/>
      <c r="IA97" s="179"/>
      <c r="IB97" s="179"/>
      <c r="IC97" s="179"/>
      <c r="ID97" s="179"/>
      <c r="IE97" s="179"/>
      <c r="IF97" s="179"/>
      <c r="IG97" s="179"/>
      <c r="IH97" s="179"/>
      <c r="II97" s="179"/>
      <c r="IJ97" s="179"/>
      <c r="IK97" s="179"/>
      <c r="IL97" s="179"/>
      <c r="IM97" s="179"/>
      <c r="IN97" s="179"/>
      <c r="IO97" s="179"/>
      <c r="IP97" s="179"/>
      <c r="IQ97" s="179"/>
      <c r="IR97" s="179"/>
    </row>
    <row r="98" spans="1:252" ht="29.25" customHeight="1">
      <c r="A98" s="182" t="s">
        <v>1125</v>
      </c>
      <c r="B98" s="324">
        <f>B96</f>
        <v>160767.20000000001</v>
      </c>
      <c r="C98" s="181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9"/>
      <c r="BW98" s="179"/>
      <c r="BX98" s="179"/>
      <c r="BY98" s="179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79"/>
      <c r="CP98" s="179"/>
      <c r="CQ98" s="179"/>
      <c r="CR98" s="179"/>
      <c r="CS98" s="179"/>
      <c r="CT98" s="179"/>
      <c r="CU98" s="179"/>
      <c r="CV98" s="179"/>
      <c r="CW98" s="179"/>
      <c r="CX98" s="179"/>
      <c r="CY98" s="179"/>
      <c r="CZ98" s="179"/>
      <c r="DA98" s="179"/>
      <c r="DB98" s="179"/>
      <c r="DC98" s="179"/>
      <c r="DD98" s="179"/>
      <c r="DE98" s="179"/>
      <c r="DF98" s="179"/>
      <c r="DG98" s="179"/>
      <c r="DH98" s="179"/>
      <c r="DI98" s="179"/>
      <c r="DJ98" s="179"/>
      <c r="DK98" s="179"/>
      <c r="DL98" s="179"/>
      <c r="DM98" s="179"/>
      <c r="DN98" s="179"/>
      <c r="DO98" s="179"/>
      <c r="DP98" s="179"/>
      <c r="DQ98" s="179"/>
      <c r="DR98" s="179"/>
      <c r="DS98" s="179"/>
      <c r="DT98" s="179"/>
      <c r="DU98" s="179"/>
      <c r="DV98" s="179"/>
      <c r="DW98" s="179"/>
      <c r="DX98" s="179"/>
      <c r="DY98" s="179"/>
      <c r="DZ98" s="179"/>
      <c r="EA98" s="179"/>
      <c r="EB98" s="179"/>
      <c r="EC98" s="179"/>
      <c r="ED98" s="179"/>
      <c r="EE98" s="179"/>
      <c r="EF98" s="179"/>
      <c r="EG98" s="179"/>
      <c r="EH98" s="179"/>
      <c r="EI98" s="179"/>
      <c r="EJ98" s="179"/>
      <c r="EK98" s="179"/>
      <c r="EL98" s="179"/>
      <c r="EM98" s="179"/>
      <c r="EN98" s="179"/>
      <c r="EO98" s="179"/>
      <c r="EP98" s="179"/>
      <c r="EQ98" s="179"/>
      <c r="ER98" s="179"/>
      <c r="ES98" s="179"/>
      <c r="ET98" s="179"/>
      <c r="EU98" s="179"/>
      <c r="EV98" s="179"/>
      <c r="EW98" s="179"/>
      <c r="EX98" s="179"/>
      <c r="EY98" s="179"/>
      <c r="EZ98" s="179"/>
      <c r="FA98" s="179"/>
      <c r="FB98" s="179"/>
      <c r="FC98" s="179"/>
      <c r="FD98" s="179"/>
      <c r="FE98" s="179"/>
      <c r="FF98" s="179"/>
      <c r="FG98" s="179"/>
      <c r="FH98" s="179"/>
      <c r="FI98" s="179"/>
      <c r="FJ98" s="179"/>
      <c r="FK98" s="179"/>
      <c r="FL98" s="179"/>
      <c r="FM98" s="179"/>
      <c r="FN98" s="179"/>
      <c r="FO98" s="179"/>
      <c r="FP98" s="179"/>
      <c r="FQ98" s="179"/>
      <c r="FR98" s="179"/>
      <c r="FS98" s="179"/>
      <c r="FT98" s="179"/>
      <c r="FU98" s="179"/>
      <c r="FV98" s="179"/>
      <c r="FW98" s="179"/>
      <c r="FX98" s="179"/>
      <c r="FY98" s="179"/>
      <c r="FZ98" s="179"/>
      <c r="GA98" s="179"/>
      <c r="GB98" s="179"/>
      <c r="GC98" s="179"/>
      <c r="GD98" s="179"/>
      <c r="GE98" s="179"/>
      <c r="GF98" s="179"/>
      <c r="GG98" s="179"/>
      <c r="GH98" s="179"/>
      <c r="GI98" s="179"/>
      <c r="GJ98" s="179"/>
      <c r="GK98" s="179"/>
      <c r="GL98" s="179"/>
      <c r="GM98" s="179"/>
      <c r="GN98" s="179"/>
      <c r="GO98" s="179"/>
      <c r="GP98" s="179"/>
      <c r="GQ98" s="179"/>
      <c r="GR98" s="179"/>
      <c r="GS98" s="179"/>
      <c r="GT98" s="179"/>
      <c r="GU98" s="179"/>
      <c r="GV98" s="179"/>
      <c r="GW98" s="179"/>
      <c r="GX98" s="179"/>
      <c r="GY98" s="179"/>
      <c r="GZ98" s="179"/>
      <c r="HA98" s="179"/>
      <c r="HB98" s="179"/>
      <c r="HC98" s="179"/>
      <c r="HD98" s="179"/>
      <c r="HE98" s="179"/>
      <c r="HF98" s="179"/>
      <c r="HG98" s="179"/>
      <c r="HH98" s="179"/>
      <c r="HI98" s="179"/>
      <c r="HJ98" s="179"/>
      <c r="HK98" s="179"/>
      <c r="HL98" s="179"/>
      <c r="HM98" s="179"/>
      <c r="HN98" s="179"/>
      <c r="HO98" s="179"/>
      <c r="HP98" s="179"/>
      <c r="HQ98" s="179"/>
      <c r="HR98" s="179"/>
      <c r="HS98" s="179"/>
      <c r="HT98" s="179"/>
      <c r="HU98" s="179"/>
      <c r="HV98" s="179"/>
      <c r="HW98" s="179"/>
      <c r="HX98" s="179"/>
      <c r="HY98" s="179"/>
      <c r="HZ98" s="179"/>
      <c r="IA98" s="179"/>
      <c r="IB98" s="179"/>
      <c r="IC98" s="179"/>
      <c r="ID98" s="179"/>
      <c r="IE98" s="179"/>
      <c r="IF98" s="179"/>
      <c r="IG98" s="179"/>
      <c r="IH98" s="179"/>
      <c r="II98" s="179"/>
      <c r="IJ98" s="179"/>
      <c r="IK98" s="179"/>
      <c r="IL98" s="179"/>
      <c r="IM98" s="179"/>
      <c r="IN98" s="179"/>
      <c r="IO98" s="179"/>
      <c r="IP98" s="179"/>
      <c r="IQ98" s="179"/>
      <c r="IR98" s="179"/>
    </row>
    <row r="99" spans="1:252">
      <c r="A99" s="179"/>
      <c r="B99" s="197"/>
      <c r="C99" s="181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  <c r="CT99" s="179"/>
      <c r="CU99" s="179"/>
      <c r="CV99" s="179"/>
      <c r="CW99" s="179"/>
      <c r="CX99" s="179"/>
      <c r="CY99" s="179"/>
      <c r="CZ99" s="179"/>
      <c r="DA99" s="179"/>
      <c r="DB99" s="179"/>
      <c r="DC99" s="179"/>
      <c r="DD99" s="179"/>
      <c r="DE99" s="179"/>
      <c r="DF99" s="179"/>
      <c r="DG99" s="179"/>
      <c r="DH99" s="179"/>
      <c r="DI99" s="179"/>
      <c r="DJ99" s="179"/>
      <c r="DK99" s="179"/>
      <c r="DL99" s="179"/>
      <c r="DM99" s="179"/>
      <c r="DN99" s="179"/>
      <c r="DO99" s="179"/>
      <c r="DP99" s="179"/>
      <c r="DQ99" s="179"/>
      <c r="DR99" s="179"/>
      <c r="DS99" s="179"/>
      <c r="DT99" s="179"/>
      <c r="DU99" s="179"/>
      <c r="DV99" s="179"/>
      <c r="DW99" s="179"/>
      <c r="DX99" s="179"/>
      <c r="DY99" s="179"/>
      <c r="DZ99" s="179"/>
      <c r="EA99" s="179"/>
      <c r="EB99" s="179"/>
      <c r="EC99" s="179"/>
      <c r="ED99" s="179"/>
      <c r="EE99" s="179"/>
      <c r="EF99" s="179"/>
      <c r="EG99" s="179"/>
      <c r="EH99" s="179"/>
      <c r="EI99" s="179"/>
      <c r="EJ99" s="179"/>
      <c r="EK99" s="179"/>
      <c r="EL99" s="179"/>
      <c r="EM99" s="179"/>
      <c r="EN99" s="179"/>
      <c r="EO99" s="179"/>
      <c r="EP99" s="179"/>
      <c r="EQ99" s="179"/>
      <c r="ER99" s="179"/>
      <c r="ES99" s="179"/>
      <c r="ET99" s="179"/>
      <c r="EU99" s="179"/>
      <c r="EV99" s="179"/>
      <c r="EW99" s="179"/>
      <c r="EX99" s="179"/>
      <c r="EY99" s="179"/>
      <c r="EZ99" s="179"/>
      <c r="FA99" s="179"/>
      <c r="FB99" s="179"/>
      <c r="FC99" s="179"/>
      <c r="FD99" s="179"/>
      <c r="FE99" s="179"/>
      <c r="FF99" s="179"/>
      <c r="FG99" s="179"/>
      <c r="FH99" s="179"/>
      <c r="FI99" s="179"/>
      <c r="FJ99" s="179"/>
      <c r="FK99" s="179"/>
      <c r="FL99" s="179"/>
      <c r="FM99" s="179"/>
      <c r="FN99" s="179"/>
      <c r="FO99" s="179"/>
      <c r="FP99" s="179"/>
      <c r="FQ99" s="179"/>
      <c r="FR99" s="179"/>
      <c r="FS99" s="179"/>
      <c r="FT99" s="179"/>
      <c r="FU99" s="179"/>
      <c r="FV99" s="179"/>
      <c r="FW99" s="179"/>
      <c r="FX99" s="179"/>
      <c r="FY99" s="179"/>
      <c r="FZ99" s="179"/>
      <c r="GA99" s="179"/>
      <c r="GB99" s="179"/>
      <c r="GC99" s="179"/>
      <c r="GD99" s="179"/>
      <c r="GE99" s="179"/>
      <c r="GF99" s="179"/>
      <c r="GG99" s="179"/>
      <c r="GH99" s="179"/>
      <c r="GI99" s="179"/>
      <c r="GJ99" s="179"/>
      <c r="GK99" s="179"/>
      <c r="GL99" s="179"/>
      <c r="GM99" s="179"/>
      <c r="GN99" s="179"/>
      <c r="GO99" s="179"/>
      <c r="GP99" s="179"/>
      <c r="GQ99" s="179"/>
      <c r="GR99" s="179"/>
      <c r="GS99" s="179"/>
      <c r="GT99" s="179"/>
      <c r="GU99" s="179"/>
      <c r="GV99" s="179"/>
      <c r="GW99" s="179"/>
      <c r="GX99" s="179"/>
      <c r="GY99" s="179"/>
      <c r="GZ99" s="179"/>
      <c r="HA99" s="179"/>
      <c r="HB99" s="179"/>
      <c r="HC99" s="179"/>
      <c r="HD99" s="179"/>
      <c r="HE99" s="179"/>
      <c r="HF99" s="179"/>
      <c r="HG99" s="179"/>
      <c r="HH99" s="179"/>
      <c r="HI99" s="179"/>
      <c r="HJ99" s="179"/>
      <c r="HK99" s="179"/>
      <c r="HL99" s="179"/>
      <c r="HM99" s="179"/>
      <c r="HN99" s="179"/>
      <c r="HO99" s="179"/>
      <c r="HP99" s="179"/>
      <c r="HQ99" s="179"/>
      <c r="HR99" s="179"/>
      <c r="HS99" s="179"/>
      <c r="HT99" s="179"/>
      <c r="HU99" s="179"/>
      <c r="HV99" s="179"/>
      <c r="HW99" s="179"/>
      <c r="HX99" s="179"/>
      <c r="HY99" s="179"/>
      <c r="HZ99" s="179"/>
      <c r="IA99" s="179"/>
      <c r="IB99" s="179"/>
      <c r="IC99" s="179"/>
      <c r="ID99" s="179"/>
      <c r="IE99" s="179"/>
      <c r="IF99" s="179"/>
      <c r="IG99" s="179"/>
      <c r="IH99" s="179"/>
      <c r="II99" s="179"/>
      <c r="IJ99" s="179"/>
      <c r="IK99" s="179"/>
      <c r="IL99" s="179"/>
      <c r="IM99" s="179"/>
      <c r="IN99" s="179"/>
      <c r="IO99" s="179"/>
      <c r="IP99" s="179"/>
      <c r="IQ99" s="179"/>
      <c r="IR99" s="179"/>
    </row>
    <row r="100" spans="1:252">
      <c r="A100" s="180" t="s">
        <v>1130</v>
      </c>
      <c r="B100" s="326">
        <f>B102+B103+B104+B107+B108+B110+B113+B111+B112+B105+B106</f>
        <v>214892.71568261588</v>
      </c>
      <c r="C100" s="181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79"/>
      <c r="BV100" s="179"/>
      <c r="BW100" s="179"/>
      <c r="BX100" s="179"/>
      <c r="BY100" s="179"/>
      <c r="BZ100" s="179"/>
      <c r="CA100" s="179"/>
      <c r="CB100" s="179"/>
      <c r="CC100" s="179"/>
      <c r="CD100" s="179"/>
      <c r="CE100" s="179"/>
      <c r="CF100" s="179"/>
      <c r="CG100" s="179"/>
      <c r="CH100" s="179"/>
      <c r="CI100" s="179"/>
      <c r="CJ100" s="179"/>
      <c r="CK100" s="179"/>
      <c r="CL100" s="179"/>
      <c r="CM100" s="179"/>
      <c r="CN100" s="179"/>
      <c r="CO100" s="179"/>
      <c r="CP100" s="179"/>
      <c r="CQ100" s="179"/>
      <c r="CR100" s="179"/>
      <c r="CS100" s="179"/>
      <c r="CT100" s="179"/>
      <c r="CU100" s="179"/>
      <c r="CV100" s="179"/>
      <c r="CW100" s="179"/>
      <c r="CX100" s="179"/>
      <c r="CY100" s="179"/>
      <c r="CZ100" s="179"/>
      <c r="DA100" s="179"/>
      <c r="DB100" s="179"/>
      <c r="DC100" s="179"/>
      <c r="DD100" s="179"/>
      <c r="DE100" s="179"/>
      <c r="DF100" s="179"/>
      <c r="DG100" s="179"/>
      <c r="DH100" s="179"/>
      <c r="DI100" s="179"/>
      <c r="DJ100" s="179"/>
      <c r="DK100" s="179"/>
      <c r="DL100" s="179"/>
      <c r="DM100" s="179"/>
      <c r="DN100" s="179"/>
      <c r="DO100" s="179"/>
      <c r="DP100" s="179"/>
      <c r="DQ100" s="179"/>
      <c r="DR100" s="179"/>
      <c r="DS100" s="179"/>
      <c r="DT100" s="179"/>
      <c r="DU100" s="179"/>
      <c r="DV100" s="179"/>
      <c r="DW100" s="179"/>
      <c r="DX100" s="179"/>
      <c r="DY100" s="179"/>
      <c r="DZ100" s="179"/>
      <c r="EA100" s="179"/>
      <c r="EB100" s="179"/>
      <c r="EC100" s="179"/>
      <c r="ED100" s="179"/>
      <c r="EE100" s="179"/>
      <c r="EF100" s="179"/>
      <c r="EG100" s="179"/>
      <c r="EH100" s="179"/>
      <c r="EI100" s="179"/>
      <c r="EJ100" s="179"/>
      <c r="EK100" s="179"/>
      <c r="EL100" s="179"/>
      <c r="EM100" s="179"/>
      <c r="EN100" s="179"/>
      <c r="EO100" s="179"/>
      <c r="EP100" s="179"/>
      <c r="EQ100" s="179"/>
      <c r="ER100" s="179"/>
      <c r="ES100" s="179"/>
      <c r="ET100" s="179"/>
      <c r="EU100" s="179"/>
      <c r="EV100" s="179"/>
      <c r="EW100" s="179"/>
      <c r="EX100" s="179"/>
      <c r="EY100" s="179"/>
      <c r="EZ100" s="179"/>
      <c r="FA100" s="179"/>
      <c r="FB100" s="179"/>
      <c r="FC100" s="179"/>
      <c r="FD100" s="179"/>
      <c r="FE100" s="179"/>
      <c r="FF100" s="179"/>
      <c r="FG100" s="179"/>
      <c r="FH100" s="179"/>
      <c r="FI100" s="179"/>
      <c r="FJ100" s="179"/>
      <c r="FK100" s="179"/>
      <c r="FL100" s="179"/>
      <c r="FM100" s="179"/>
      <c r="FN100" s="179"/>
      <c r="FO100" s="179"/>
      <c r="FP100" s="179"/>
      <c r="FQ100" s="179"/>
      <c r="FR100" s="179"/>
      <c r="FS100" s="179"/>
      <c r="FT100" s="179"/>
      <c r="FU100" s="179"/>
      <c r="FV100" s="179"/>
      <c r="FW100" s="179"/>
      <c r="FX100" s="179"/>
      <c r="FY100" s="179"/>
      <c r="FZ100" s="179"/>
      <c r="GA100" s="179"/>
      <c r="GB100" s="179"/>
      <c r="GC100" s="179"/>
      <c r="GD100" s="179"/>
      <c r="GE100" s="179"/>
      <c r="GF100" s="179"/>
      <c r="GG100" s="179"/>
      <c r="GH100" s="179"/>
      <c r="GI100" s="179"/>
      <c r="GJ100" s="179"/>
      <c r="GK100" s="179"/>
      <c r="GL100" s="179"/>
      <c r="GM100" s="179"/>
      <c r="GN100" s="179"/>
      <c r="GO100" s="179"/>
      <c r="GP100" s="179"/>
      <c r="GQ100" s="179"/>
      <c r="GR100" s="179"/>
      <c r="GS100" s="179"/>
      <c r="GT100" s="179"/>
      <c r="GU100" s="179"/>
      <c r="GV100" s="179"/>
      <c r="GW100" s="179"/>
      <c r="GX100" s="179"/>
      <c r="GY100" s="179"/>
      <c r="GZ100" s="179"/>
      <c r="HA100" s="179"/>
      <c r="HB100" s="179"/>
      <c r="HC100" s="179"/>
      <c r="HD100" s="179"/>
      <c r="HE100" s="179"/>
      <c r="HF100" s="179"/>
      <c r="HG100" s="179"/>
      <c r="HH100" s="179"/>
      <c r="HI100" s="179"/>
      <c r="HJ100" s="179"/>
      <c r="HK100" s="179"/>
      <c r="HL100" s="179"/>
      <c r="HM100" s="179"/>
      <c r="HN100" s="179"/>
      <c r="HO100" s="179"/>
      <c r="HP100" s="179"/>
      <c r="HQ100" s="179"/>
      <c r="HR100" s="179"/>
      <c r="HS100" s="179"/>
      <c r="HT100" s="179"/>
      <c r="HU100" s="179"/>
      <c r="HV100" s="179"/>
      <c r="HW100" s="179"/>
      <c r="HX100" s="179"/>
      <c r="HY100" s="179"/>
      <c r="HZ100" s="179"/>
      <c r="IA100" s="179"/>
      <c r="IB100" s="179"/>
      <c r="IC100" s="179"/>
      <c r="ID100" s="179"/>
      <c r="IE100" s="179"/>
      <c r="IF100" s="179"/>
      <c r="IG100" s="179"/>
      <c r="IH100" s="179"/>
      <c r="II100" s="179"/>
      <c r="IJ100" s="179"/>
      <c r="IK100" s="179"/>
      <c r="IL100" s="179"/>
      <c r="IM100" s="179"/>
      <c r="IN100" s="179"/>
      <c r="IO100" s="179"/>
      <c r="IP100" s="179"/>
      <c r="IQ100" s="179"/>
      <c r="IR100" s="179"/>
    </row>
    <row r="101" spans="1:252">
      <c r="A101" s="181" t="s">
        <v>599</v>
      </c>
      <c r="B101" s="325"/>
      <c r="C101" s="181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79"/>
      <c r="CZ101" s="179"/>
      <c r="DA101" s="179"/>
      <c r="DB101" s="179"/>
      <c r="DC101" s="179"/>
      <c r="DD101" s="179"/>
      <c r="DE101" s="179"/>
      <c r="DF101" s="179"/>
      <c r="DG101" s="179"/>
      <c r="DH101" s="179"/>
      <c r="DI101" s="179"/>
      <c r="DJ101" s="179"/>
      <c r="DK101" s="179"/>
      <c r="DL101" s="179"/>
      <c r="DM101" s="179"/>
      <c r="DN101" s="179"/>
      <c r="DO101" s="179"/>
      <c r="DP101" s="179"/>
      <c r="DQ101" s="179"/>
      <c r="DR101" s="179"/>
      <c r="DS101" s="179"/>
      <c r="DT101" s="179"/>
      <c r="DU101" s="179"/>
      <c r="DV101" s="179"/>
      <c r="DW101" s="179"/>
      <c r="DX101" s="179"/>
      <c r="DY101" s="179"/>
      <c r="DZ101" s="179"/>
      <c r="EA101" s="179"/>
      <c r="EB101" s="179"/>
      <c r="EC101" s="179"/>
      <c r="ED101" s="179"/>
      <c r="EE101" s="179"/>
      <c r="EF101" s="179"/>
      <c r="EG101" s="179"/>
      <c r="EH101" s="179"/>
      <c r="EI101" s="179"/>
      <c r="EJ101" s="179"/>
      <c r="EK101" s="179"/>
      <c r="EL101" s="179"/>
      <c r="EM101" s="179"/>
      <c r="EN101" s="179"/>
      <c r="EO101" s="179"/>
      <c r="EP101" s="179"/>
      <c r="EQ101" s="179"/>
      <c r="ER101" s="179"/>
      <c r="ES101" s="179"/>
      <c r="ET101" s="179"/>
      <c r="EU101" s="179"/>
      <c r="EV101" s="179"/>
      <c r="EW101" s="179"/>
      <c r="EX101" s="179"/>
      <c r="EY101" s="179"/>
      <c r="EZ101" s="179"/>
      <c r="FA101" s="179"/>
      <c r="FB101" s="179"/>
      <c r="FC101" s="179"/>
      <c r="FD101" s="179"/>
      <c r="FE101" s="179"/>
      <c r="FF101" s="179"/>
      <c r="FG101" s="179"/>
      <c r="FH101" s="179"/>
      <c r="FI101" s="179"/>
      <c r="FJ101" s="179"/>
      <c r="FK101" s="179"/>
      <c r="FL101" s="179"/>
      <c r="FM101" s="179"/>
      <c r="FN101" s="179"/>
      <c r="FO101" s="179"/>
      <c r="FP101" s="179"/>
      <c r="FQ101" s="179"/>
      <c r="FR101" s="179"/>
      <c r="FS101" s="179"/>
      <c r="FT101" s="179"/>
      <c r="FU101" s="179"/>
      <c r="FV101" s="179"/>
      <c r="FW101" s="179"/>
      <c r="FX101" s="179"/>
      <c r="FY101" s="179"/>
      <c r="FZ101" s="179"/>
      <c r="GA101" s="179"/>
      <c r="GB101" s="179"/>
      <c r="GC101" s="179"/>
      <c r="GD101" s="179"/>
      <c r="GE101" s="179"/>
      <c r="GF101" s="179"/>
      <c r="GG101" s="179"/>
      <c r="GH101" s="179"/>
      <c r="GI101" s="179"/>
      <c r="GJ101" s="179"/>
      <c r="GK101" s="179"/>
      <c r="GL101" s="179"/>
      <c r="GM101" s="179"/>
      <c r="GN101" s="179"/>
      <c r="GO101" s="179"/>
      <c r="GP101" s="179"/>
      <c r="GQ101" s="179"/>
      <c r="GR101" s="179"/>
      <c r="GS101" s="179"/>
      <c r="GT101" s="179"/>
      <c r="GU101" s="179"/>
      <c r="GV101" s="179"/>
      <c r="GW101" s="179"/>
      <c r="GX101" s="179"/>
      <c r="GY101" s="179"/>
      <c r="GZ101" s="179"/>
      <c r="HA101" s="179"/>
      <c r="HB101" s="179"/>
      <c r="HC101" s="179"/>
      <c r="HD101" s="179"/>
      <c r="HE101" s="179"/>
      <c r="HF101" s="179"/>
      <c r="HG101" s="179"/>
      <c r="HH101" s="179"/>
      <c r="HI101" s="179"/>
      <c r="HJ101" s="179"/>
      <c r="HK101" s="179"/>
      <c r="HL101" s="179"/>
      <c r="HM101" s="179"/>
      <c r="HN101" s="179"/>
      <c r="HO101" s="179"/>
      <c r="HP101" s="179"/>
      <c r="HQ101" s="179"/>
      <c r="HR101" s="179"/>
      <c r="HS101" s="179"/>
      <c r="HT101" s="179"/>
      <c r="HU101" s="179"/>
      <c r="HV101" s="179"/>
      <c r="HW101" s="179"/>
      <c r="HX101" s="179"/>
      <c r="HY101" s="179"/>
      <c r="HZ101" s="179"/>
      <c r="IA101" s="179"/>
      <c r="IB101" s="179"/>
      <c r="IC101" s="179"/>
      <c r="ID101" s="179"/>
      <c r="IE101" s="179"/>
      <c r="IF101" s="179"/>
      <c r="IG101" s="179"/>
      <c r="IH101" s="179"/>
      <c r="II101" s="179"/>
      <c r="IJ101" s="179"/>
      <c r="IK101" s="179"/>
      <c r="IL101" s="179"/>
      <c r="IM101" s="179"/>
      <c r="IN101" s="179"/>
      <c r="IO101" s="179"/>
      <c r="IP101" s="179"/>
      <c r="IQ101" s="179"/>
      <c r="IR101" s="179"/>
    </row>
    <row r="102" spans="1:252">
      <c r="A102" s="181" t="s">
        <v>521</v>
      </c>
      <c r="B102" s="327">
        <f>959300/45797.5*846.9*1.48</f>
        <v>26254.667429444835</v>
      </c>
      <c r="C102" s="181">
        <f>ROUND(B102/B91/12,2)</f>
        <v>2.58</v>
      </c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79"/>
      <c r="CS102" s="179"/>
      <c r="CT102" s="179"/>
      <c r="CU102" s="179"/>
      <c r="CV102" s="179"/>
      <c r="CW102" s="179"/>
      <c r="CX102" s="179"/>
      <c r="CY102" s="179"/>
      <c r="CZ102" s="179"/>
      <c r="DA102" s="179"/>
      <c r="DB102" s="179"/>
      <c r="DC102" s="179"/>
      <c r="DD102" s="179"/>
      <c r="DE102" s="179"/>
      <c r="DF102" s="179"/>
      <c r="DG102" s="179"/>
      <c r="DH102" s="179"/>
      <c r="DI102" s="179"/>
      <c r="DJ102" s="179"/>
      <c r="DK102" s="179"/>
      <c r="DL102" s="179"/>
      <c r="DM102" s="179"/>
      <c r="DN102" s="179"/>
      <c r="DO102" s="179"/>
      <c r="DP102" s="179"/>
      <c r="DQ102" s="179"/>
      <c r="DR102" s="179"/>
      <c r="DS102" s="179"/>
      <c r="DT102" s="179"/>
      <c r="DU102" s="179"/>
      <c r="DV102" s="179"/>
      <c r="DW102" s="179"/>
      <c r="DX102" s="179"/>
      <c r="DY102" s="179"/>
      <c r="DZ102" s="179"/>
      <c r="EA102" s="179"/>
      <c r="EB102" s="179"/>
      <c r="EC102" s="179"/>
      <c r="ED102" s="179"/>
      <c r="EE102" s="179"/>
      <c r="EF102" s="179"/>
      <c r="EG102" s="179"/>
      <c r="EH102" s="179"/>
      <c r="EI102" s="179"/>
      <c r="EJ102" s="179"/>
      <c r="EK102" s="179"/>
      <c r="EL102" s="179"/>
      <c r="EM102" s="179"/>
      <c r="EN102" s="179"/>
      <c r="EO102" s="179"/>
      <c r="EP102" s="179"/>
      <c r="EQ102" s="179"/>
      <c r="ER102" s="179"/>
      <c r="ES102" s="179"/>
      <c r="ET102" s="179"/>
      <c r="EU102" s="179"/>
      <c r="EV102" s="179"/>
      <c r="EW102" s="179"/>
      <c r="EX102" s="179"/>
      <c r="EY102" s="179"/>
      <c r="EZ102" s="179"/>
      <c r="FA102" s="179"/>
      <c r="FB102" s="179"/>
      <c r="FC102" s="179"/>
      <c r="FD102" s="179"/>
      <c r="FE102" s="179"/>
      <c r="FF102" s="179"/>
      <c r="FG102" s="179"/>
      <c r="FH102" s="179"/>
      <c r="FI102" s="179"/>
      <c r="FJ102" s="179"/>
      <c r="FK102" s="179"/>
      <c r="FL102" s="179"/>
      <c r="FM102" s="179"/>
      <c r="FN102" s="179"/>
      <c r="FO102" s="179"/>
      <c r="FP102" s="179"/>
      <c r="FQ102" s="179"/>
      <c r="FR102" s="179"/>
      <c r="FS102" s="179"/>
      <c r="FT102" s="179"/>
      <c r="FU102" s="179"/>
      <c r="FV102" s="179"/>
      <c r="FW102" s="179"/>
      <c r="FX102" s="179"/>
      <c r="FY102" s="179"/>
      <c r="FZ102" s="179"/>
      <c r="GA102" s="179"/>
      <c r="GB102" s="179"/>
      <c r="GC102" s="179"/>
      <c r="GD102" s="179"/>
      <c r="GE102" s="179"/>
      <c r="GF102" s="179"/>
      <c r="GG102" s="179"/>
      <c r="GH102" s="179"/>
      <c r="GI102" s="179"/>
      <c r="GJ102" s="179"/>
      <c r="GK102" s="179"/>
      <c r="GL102" s="179"/>
      <c r="GM102" s="179"/>
      <c r="GN102" s="179"/>
      <c r="GO102" s="179"/>
      <c r="GP102" s="179"/>
      <c r="GQ102" s="179"/>
      <c r="GR102" s="179"/>
      <c r="GS102" s="179"/>
      <c r="GT102" s="179"/>
      <c r="GU102" s="179"/>
      <c r="GV102" s="179"/>
      <c r="GW102" s="179"/>
      <c r="GX102" s="179"/>
      <c r="GY102" s="179"/>
      <c r="GZ102" s="179"/>
      <c r="HA102" s="179"/>
      <c r="HB102" s="179"/>
      <c r="HC102" s="179"/>
      <c r="HD102" s="179"/>
      <c r="HE102" s="179"/>
      <c r="HF102" s="179"/>
      <c r="HG102" s="179"/>
      <c r="HH102" s="179"/>
      <c r="HI102" s="179"/>
      <c r="HJ102" s="179"/>
      <c r="HK102" s="179"/>
      <c r="HL102" s="179"/>
      <c r="HM102" s="179"/>
      <c r="HN102" s="179"/>
      <c r="HO102" s="179"/>
      <c r="HP102" s="179"/>
      <c r="HQ102" s="179"/>
      <c r="HR102" s="179"/>
      <c r="HS102" s="179"/>
      <c r="HT102" s="179"/>
      <c r="HU102" s="179"/>
      <c r="HV102" s="179"/>
      <c r="HW102" s="179"/>
      <c r="HX102" s="179"/>
      <c r="HY102" s="179"/>
      <c r="HZ102" s="179"/>
      <c r="IA102" s="179"/>
      <c r="IB102" s="179"/>
      <c r="IC102" s="179"/>
      <c r="ID102" s="179"/>
      <c r="IE102" s="179"/>
      <c r="IF102" s="179"/>
      <c r="IG102" s="179"/>
      <c r="IH102" s="179"/>
      <c r="II102" s="179"/>
      <c r="IJ102" s="179"/>
      <c r="IK102" s="179"/>
      <c r="IL102" s="179"/>
      <c r="IM102" s="179"/>
      <c r="IN102" s="179"/>
      <c r="IO102" s="179"/>
      <c r="IP102" s="179"/>
      <c r="IQ102" s="179"/>
      <c r="IR102" s="179"/>
    </row>
    <row r="103" spans="1:252">
      <c r="A103" s="181" t="s">
        <v>520</v>
      </c>
      <c r="B103" s="327">
        <f>0.89*B91*12*1.48</f>
        <v>13386.44016</v>
      </c>
      <c r="C103" s="181">
        <f>ROUND(B103/B91/12,2)</f>
        <v>1.32</v>
      </c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79"/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79"/>
      <c r="DE103" s="179"/>
      <c r="DF103" s="179"/>
      <c r="DG103" s="179"/>
      <c r="DH103" s="179"/>
      <c r="DI103" s="179"/>
      <c r="DJ103" s="179"/>
      <c r="DK103" s="179"/>
      <c r="DL103" s="179"/>
      <c r="DM103" s="179"/>
      <c r="DN103" s="179"/>
      <c r="DO103" s="179"/>
      <c r="DP103" s="179"/>
      <c r="DQ103" s="179"/>
      <c r="DR103" s="179"/>
      <c r="DS103" s="179"/>
      <c r="DT103" s="179"/>
      <c r="DU103" s="179"/>
      <c r="DV103" s="179"/>
      <c r="DW103" s="179"/>
      <c r="DX103" s="179"/>
      <c r="DY103" s="179"/>
      <c r="DZ103" s="179"/>
      <c r="EA103" s="179"/>
      <c r="EB103" s="179"/>
      <c r="EC103" s="179"/>
      <c r="ED103" s="179"/>
      <c r="EE103" s="179"/>
      <c r="EF103" s="179"/>
      <c r="EG103" s="179"/>
      <c r="EH103" s="179"/>
      <c r="EI103" s="179"/>
      <c r="EJ103" s="179"/>
      <c r="EK103" s="179"/>
      <c r="EL103" s="179"/>
      <c r="EM103" s="179"/>
      <c r="EN103" s="179"/>
      <c r="EO103" s="179"/>
      <c r="EP103" s="179"/>
      <c r="EQ103" s="179"/>
      <c r="ER103" s="179"/>
      <c r="ES103" s="179"/>
      <c r="ET103" s="179"/>
      <c r="EU103" s="179"/>
      <c r="EV103" s="179"/>
      <c r="EW103" s="179"/>
      <c r="EX103" s="179"/>
      <c r="EY103" s="179"/>
      <c r="EZ103" s="179"/>
      <c r="FA103" s="179"/>
      <c r="FB103" s="179"/>
      <c r="FC103" s="179"/>
      <c r="FD103" s="179"/>
      <c r="FE103" s="179"/>
      <c r="FF103" s="179"/>
      <c r="FG103" s="179"/>
      <c r="FH103" s="179"/>
      <c r="FI103" s="179"/>
      <c r="FJ103" s="179"/>
      <c r="FK103" s="179"/>
      <c r="FL103" s="179"/>
      <c r="FM103" s="179"/>
      <c r="FN103" s="179"/>
      <c r="FO103" s="179"/>
      <c r="FP103" s="179"/>
      <c r="FQ103" s="179"/>
      <c r="FR103" s="179"/>
      <c r="FS103" s="179"/>
      <c r="FT103" s="179"/>
      <c r="FU103" s="179"/>
      <c r="FV103" s="179"/>
      <c r="FW103" s="179"/>
      <c r="FX103" s="179"/>
      <c r="FY103" s="179"/>
      <c r="FZ103" s="179"/>
      <c r="GA103" s="179"/>
      <c r="GB103" s="179"/>
      <c r="GC103" s="179"/>
      <c r="GD103" s="179"/>
      <c r="GE103" s="179"/>
      <c r="GF103" s="179"/>
      <c r="GG103" s="179"/>
      <c r="GH103" s="179"/>
      <c r="GI103" s="179"/>
      <c r="GJ103" s="179"/>
      <c r="GK103" s="179"/>
      <c r="GL103" s="179"/>
      <c r="GM103" s="179"/>
      <c r="GN103" s="179"/>
      <c r="GO103" s="179"/>
      <c r="GP103" s="179"/>
      <c r="GQ103" s="179"/>
      <c r="GR103" s="179"/>
      <c r="GS103" s="179"/>
      <c r="GT103" s="179"/>
      <c r="GU103" s="179"/>
      <c r="GV103" s="179"/>
      <c r="GW103" s="179"/>
      <c r="GX103" s="179"/>
      <c r="GY103" s="179"/>
      <c r="GZ103" s="179"/>
      <c r="HA103" s="179"/>
      <c r="HB103" s="179"/>
      <c r="HC103" s="179"/>
      <c r="HD103" s="179"/>
      <c r="HE103" s="179"/>
      <c r="HF103" s="179"/>
      <c r="HG103" s="179"/>
      <c r="HH103" s="179"/>
      <c r="HI103" s="179"/>
      <c r="HJ103" s="179"/>
      <c r="HK103" s="179"/>
      <c r="HL103" s="179"/>
      <c r="HM103" s="179"/>
      <c r="HN103" s="179"/>
      <c r="HO103" s="179"/>
      <c r="HP103" s="179"/>
      <c r="HQ103" s="179"/>
      <c r="HR103" s="179"/>
      <c r="HS103" s="179"/>
      <c r="HT103" s="179"/>
      <c r="HU103" s="179"/>
      <c r="HV103" s="179"/>
      <c r="HW103" s="179"/>
      <c r="HX103" s="179"/>
      <c r="HY103" s="179"/>
      <c r="HZ103" s="179"/>
      <c r="IA103" s="179"/>
      <c r="IB103" s="179"/>
      <c r="IC103" s="179"/>
      <c r="ID103" s="179"/>
      <c r="IE103" s="179"/>
      <c r="IF103" s="179"/>
      <c r="IG103" s="179"/>
      <c r="IH103" s="179"/>
      <c r="II103" s="179"/>
      <c r="IJ103" s="179"/>
      <c r="IK103" s="179"/>
      <c r="IL103" s="179"/>
      <c r="IM103" s="179"/>
      <c r="IN103" s="179"/>
      <c r="IO103" s="179"/>
      <c r="IP103" s="179"/>
      <c r="IQ103" s="179"/>
      <c r="IR103" s="179"/>
    </row>
    <row r="104" spans="1:252">
      <c r="A104" s="181" t="s">
        <v>987</v>
      </c>
      <c r="B104" s="327">
        <f>107942.65/45797.5*846.9*1.48</f>
        <v>2954.2357731710244</v>
      </c>
      <c r="C104" s="181">
        <f>ROUND(B104/B91/12,2)</f>
        <v>0.28999999999999998</v>
      </c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179"/>
      <c r="CK104" s="179"/>
      <c r="CL104" s="179"/>
      <c r="CM104" s="179"/>
      <c r="CN104" s="179"/>
      <c r="CO104" s="179"/>
      <c r="CP104" s="179"/>
      <c r="CQ104" s="179"/>
      <c r="CR104" s="179"/>
      <c r="CS104" s="179"/>
      <c r="CT104" s="179"/>
      <c r="CU104" s="179"/>
      <c r="CV104" s="179"/>
      <c r="CW104" s="179"/>
      <c r="CX104" s="179"/>
      <c r="CY104" s="179"/>
      <c r="CZ104" s="179"/>
      <c r="DA104" s="179"/>
      <c r="DB104" s="179"/>
      <c r="DC104" s="179"/>
      <c r="DD104" s="179"/>
      <c r="DE104" s="179"/>
      <c r="DF104" s="179"/>
      <c r="DG104" s="179"/>
      <c r="DH104" s="179"/>
      <c r="DI104" s="179"/>
      <c r="DJ104" s="179"/>
      <c r="DK104" s="179"/>
      <c r="DL104" s="179"/>
      <c r="DM104" s="179"/>
      <c r="DN104" s="179"/>
      <c r="DO104" s="179"/>
      <c r="DP104" s="179"/>
      <c r="DQ104" s="179"/>
      <c r="DR104" s="179"/>
      <c r="DS104" s="179"/>
      <c r="DT104" s="179"/>
      <c r="DU104" s="179"/>
      <c r="DV104" s="179"/>
      <c r="DW104" s="179"/>
      <c r="DX104" s="179"/>
      <c r="DY104" s="179"/>
      <c r="DZ104" s="179"/>
      <c r="EA104" s="179"/>
      <c r="EB104" s="179"/>
      <c r="EC104" s="179"/>
      <c r="ED104" s="179"/>
      <c r="EE104" s="179"/>
      <c r="EF104" s="179"/>
      <c r="EG104" s="179"/>
      <c r="EH104" s="179"/>
      <c r="EI104" s="179"/>
      <c r="EJ104" s="179"/>
      <c r="EK104" s="179"/>
      <c r="EL104" s="179"/>
      <c r="EM104" s="179"/>
      <c r="EN104" s="179"/>
      <c r="EO104" s="179"/>
      <c r="EP104" s="179"/>
      <c r="EQ104" s="179"/>
      <c r="ER104" s="179"/>
      <c r="ES104" s="179"/>
      <c r="ET104" s="179"/>
      <c r="EU104" s="179"/>
      <c r="EV104" s="179"/>
      <c r="EW104" s="179"/>
      <c r="EX104" s="179"/>
      <c r="EY104" s="179"/>
      <c r="EZ104" s="179"/>
      <c r="FA104" s="179"/>
      <c r="FB104" s="179"/>
      <c r="FC104" s="179"/>
      <c r="FD104" s="179"/>
      <c r="FE104" s="179"/>
      <c r="FF104" s="179"/>
      <c r="FG104" s="179"/>
      <c r="FH104" s="179"/>
      <c r="FI104" s="179"/>
      <c r="FJ104" s="179"/>
      <c r="FK104" s="179"/>
      <c r="FL104" s="179"/>
      <c r="FM104" s="179"/>
      <c r="FN104" s="179"/>
      <c r="FO104" s="179"/>
      <c r="FP104" s="179"/>
      <c r="FQ104" s="179"/>
      <c r="FR104" s="179"/>
      <c r="FS104" s="179"/>
      <c r="FT104" s="179"/>
      <c r="FU104" s="179"/>
      <c r="FV104" s="179"/>
      <c r="FW104" s="179"/>
      <c r="FX104" s="179"/>
      <c r="FY104" s="179"/>
      <c r="FZ104" s="179"/>
      <c r="GA104" s="179"/>
      <c r="GB104" s="179"/>
      <c r="GC104" s="179"/>
      <c r="GD104" s="179"/>
      <c r="GE104" s="179"/>
      <c r="GF104" s="179"/>
      <c r="GG104" s="179"/>
      <c r="GH104" s="179"/>
      <c r="GI104" s="179"/>
      <c r="GJ104" s="179"/>
      <c r="GK104" s="179"/>
      <c r="GL104" s="179"/>
      <c r="GM104" s="179"/>
      <c r="GN104" s="179"/>
      <c r="GO104" s="179"/>
      <c r="GP104" s="179"/>
      <c r="GQ104" s="179"/>
      <c r="GR104" s="179"/>
      <c r="GS104" s="179"/>
      <c r="GT104" s="179"/>
      <c r="GU104" s="179"/>
      <c r="GV104" s="179"/>
      <c r="GW104" s="179"/>
      <c r="GX104" s="179"/>
      <c r="GY104" s="179"/>
      <c r="GZ104" s="179"/>
      <c r="HA104" s="179"/>
      <c r="HB104" s="179"/>
      <c r="HC104" s="179"/>
      <c r="HD104" s="179"/>
      <c r="HE104" s="179"/>
      <c r="HF104" s="179"/>
      <c r="HG104" s="179"/>
      <c r="HH104" s="179"/>
      <c r="HI104" s="179"/>
      <c r="HJ104" s="179"/>
      <c r="HK104" s="179"/>
      <c r="HL104" s="179"/>
      <c r="HM104" s="179"/>
      <c r="HN104" s="179"/>
      <c r="HO104" s="179"/>
      <c r="HP104" s="179"/>
      <c r="HQ104" s="179"/>
      <c r="HR104" s="179"/>
      <c r="HS104" s="179"/>
      <c r="HT104" s="179"/>
      <c r="HU104" s="179"/>
      <c r="HV104" s="179"/>
      <c r="HW104" s="179"/>
      <c r="HX104" s="179"/>
      <c r="HY104" s="179"/>
      <c r="HZ104" s="179"/>
      <c r="IA104" s="179"/>
      <c r="IB104" s="179"/>
      <c r="IC104" s="179"/>
      <c r="ID104" s="179"/>
      <c r="IE104" s="179"/>
      <c r="IF104" s="179"/>
      <c r="IG104" s="179"/>
      <c r="IH104" s="179"/>
      <c r="II104" s="179"/>
      <c r="IJ104" s="179"/>
      <c r="IK104" s="179"/>
      <c r="IL104" s="179"/>
      <c r="IM104" s="179"/>
      <c r="IN104" s="179"/>
      <c r="IO104" s="179"/>
      <c r="IP104" s="179"/>
      <c r="IQ104" s="179"/>
      <c r="IR104" s="179"/>
    </row>
    <row r="105" spans="1:252">
      <c r="A105" s="181" t="s">
        <v>908</v>
      </c>
      <c r="B105" s="327">
        <v>10656</v>
      </c>
      <c r="C105" s="181">
        <f>ROUND(B105/B91/12,2)</f>
        <v>1.05</v>
      </c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79"/>
      <c r="CJ105" s="179"/>
      <c r="CK105" s="179"/>
      <c r="CL105" s="179"/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79"/>
      <c r="DE105" s="179"/>
      <c r="DF105" s="179"/>
      <c r="DG105" s="179"/>
      <c r="DH105" s="179"/>
      <c r="DI105" s="179"/>
      <c r="DJ105" s="179"/>
      <c r="DK105" s="179"/>
      <c r="DL105" s="179"/>
      <c r="DM105" s="179"/>
      <c r="DN105" s="179"/>
      <c r="DO105" s="179"/>
      <c r="DP105" s="179"/>
      <c r="DQ105" s="179"/>
      <c r="DR105" s="179"/>
      <c r="DS105" s="179"/>
      <c r="DT105" s="179"/>
      <c r="DU105" s="179"/>
      <c r="DV105" s="179"/>
      <c r="DW105" s="179"/>
      <c r="DX105" s="179"/>
      <c r="DY105" s="179"/>
      <c r="DZ105" s="179"/>
      <c r="EA105" s="179"/>
      <c r="EB105" s="179"/>
      <c r="EC105" s="179"/>
      <c r="ED105" s="179"/>
      <c r="EE105" s="179"/>
      <c r="EF105" s="179"/>
      <c r="EG105" s="179"/>
      <c r="EH105" s="179"/>
      <c r="EI105" s="179"/>
      <c r="EJ105" s="179"/>
      <c r="EK105" s="179"/>
      <c r="EL105" s="179"/>
      <c r="EM105" s="179"/>
      <c r="EN105" s="179"/>
      <c r="EO105" s="179"/>
      <c r="EP105" s="179"/>
      <c r="EQ105" s="179"/>
      <c r="ER105" s="179"/>
      <c r="ES105" s="179"/>
      <c r="ET105" s="179"/>
      <c r="EU105" s="179"/>
      <c r="EV105" s="179"/>
      <c r="EW105" s="179"/>
      <c r="EX105" s="179"/>
      <c r="EY105" s="179"/>
      <c r="EZ105" s="179"/>
      <c r="FA105" s="179"/>
      <c r="FB105" s="179"/>
      <c r="FC105" s="179"/>
      <c r="FD105" s="179"/>
      <c r="FE105" s="179"/>
      <c r="FF105" s="179"/>
      <c r="FG105" s="179"/>
      <c r="FH105" s="179"/>
      <c r="FI105" s="179"/>
      <c r="FJ105" s="179"/>
      <c r="FK105" s="179"/>
      <c r="FL105" s="179"/>
      <c r="FM105" s="179"/>
      <c r="FN105" s="179"/>
      <c r="FO105" s="179"/>
      <c r="FP105" s="179"/>
      <c r="FQ105" s="179"/>
      <c r="FR105" s="179"/>
      <c r="FS105" s="179"/>
      <c r="FT105" s="179"/>
      <c r="FU105" s="179"/>
      <c r="FV105" s="179"/>
      <c r="FW105" s="179"/>
      <c r="FX105" s="179"/>
      <c r="FY105" s="179"/>
      <c r="FZ105" s="179"/>
      <c r="GA105" s="179"/>
      <c r="GB105" s="179"/>
      <c r="GC105" s="179"/>
      <c r="GD105" s="179"/>
      <c r="GE105" s="179"/>
      <c r="GF105" s="179"/>
      <c r="GG105" s="179"/>
      <c r="GH105" s="179"/>
      <c r="GI105" s="179"/>
      <c r="GJ105" s="179"/>
      <c r="GK105" s="179"/>
      <c r="GL105" s="179"/>
      <c r="GM105" s="179"/>
      <c r="GN105" s="179"/>
      <c r="GO105" s="179"/>
      <c r="GP105" s="179"/>
      <c r="GQ105" s="179"/>
      <c r="GR105" s="179"/>
      <c r="GS105" s="179"/>
      <c r="GT105" s="179"/>
      <c r="GU105" s="179"/>
      <c r="GV105" s="179"/>
      <c r="GW105" s="179"/>
      <c r="GX105" s="179"/>
      <c r="GY105" s="179"/>
      <c r="GZ105" s="179"/>
      <c r="HA105" s="179"/>
      <c r="HB105" s="179"/>
      <c r="HC105" s="179"/>
      <c r="HD105" s="179"/>
      <c r="HE105" s="179"/>
      <c r="HF105" s="179"/>
      <c r="HG105" s="179"/>
      <c r="HH105" s="179"/>
      <c r="HI105" s="179"/>
      <c r="HJ105" s="179"/>
      <c r="HK105" s="179"/>
      <c r="HL105" s="179"/>
      <c r="HM105" s="179"/>
      <c r="HN105" s="179"/>
      <c r="HO105" s="179"/>
      <c r="HP105" s="179"/>
      <c r="HQ105" s="179"/>
      <c r="HR105" s="179"/>
      <c r="HS105" s="179"/>
      <c r="HT105" s="179"/>
      <c r="HU105" s="179"/>
      <c r="HV105" s="179"/>
      <c r="HW105" s="179"/>
      <c r="HX105" s="179"/>
      <c r="HY105" s="179"/>
      <c r="HZ105" s="179"/>
      <c r="IA105" s="179"/>
      <c r="IB105" s="179"/>
      <c r="IC105" s="179"/>
      <c r="ID105" s="179"/>
      <c r="IE105" s="179"/>
      <c r="IF105" s="179"/>
      <c r="IG105" s="179"/>
      <c r="IH105" s="179"/>
      <c r="II105" s="179"/>
      <c r="IJ105" s="179"/>
      <c r="IK105" s="179"/>
      <c r="IL105" s="179"/>
      <c r="IM105" s="179"/>
      <c r="IN105" s="179"/>
      <c r="IO105" s="179"/>
      <c r="IP105" s="179"/>
      <c r="IQ105" s="179"/>
      <c r="IR105" s="179"/>
    </row>
    <row r="106" spans="1:252">
      <c r="A106" s="181" t="s">
        <v>1135</v>
      </c>
      <c r="B106" s="327">
        <f>1.5*1000*1.48</f>
        <v>2220</v>
      </c>
      <c r="C106" s="181">
        <f>ROUND(B106/B91/12,2)</f>
        <v>0.22</v>
      </c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/>
      <c r="CG106" s="179"/>
      <c r="CH106" s="179"/>
      <c r="CI106" s="179"/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  <c r="DB106" s="179"/>
      <c r="DC106" s="179"/>
      <c r="DD106" s="179"/>
      <c r="DE106" s="179"/>
      <c r="DF106" s="179"/>
      <c r="DG106" s="179"/>
      <c r="DH106" s="179"/>
      <c r="DI106" s="179"/>
      <c r="DJ106" s="179"/>
      <c r="DK106" s="179"/>
      <c r="DL106" s="179"/>
      <c r="DM106" s="179"/>
      <c r="DN106" s="179"/>
      <c r="DO106" s="179"/>
      <c r="DP106" s="179"/>
      <c r="DQ106" s="179"/>
      <c r="DR106" s="179"/>
      <c r="DS106" s="179"/>
      <c r="DT106" s="179"/>
      <c r="DU106" s="179"/>
      <c r="DV106" s="179"/>
      <c r="DW106" s="179"/>
      <c r="DX106" s="179"/>
      <c r="DY106" s="179"/>
      <c r="DZ106" s="179"/>
      <c r="EA106" s="179"/>
      <c r="EB106" s="179"/>
      <c r="EC106" s="179"/>
      <c r="ED106" s="179"/>
      <c r="EE106" s="179"/>
      <c r="EF106" s="179"/>
      <c r="EG106" s="179"/>
      <c r="EH106" s="179"/>
      <c r="EI106" s="179"/>
      <c r="EJ106" s="179"/>
      <c r="EK106" s="179"/>
      <c r="EL106" s="179"/>
      <c r="EM106" s="179"/>
      <c r="EN106" s="179"/>
      <c r="EO106" s="179"/>
      <c r="EP106" s="179"/>
      <c r="EQ106" s="179"/>
      <c r="ER106" s="179"/>
      <c r="ES106" s="179"/>
      <c r="ET106" s="179"/>
      <c r="EU106" s="179"/>
      <c r="EV106" s="179"/>
      <c r="EW106" s="179"/>
      <c r="EX106" s="179"/>
      <c r="EY106" s="179"/>
      <c r="EZ106" s="179"/>
      <c r="FA106" s="179"/>
      <c r="FB106" s="179"/>
      <c r="FC106" s="179"/>
      <c r="FD106" s="179"/>
      <c r="FE106" s="179"/>
      <c r="FF106" s="179"/>
      <c r="FG106" s="179"/>
      <c r="FH106" s="179"/>
      <c r="FI106" s="179"/>
      <c r="FJ106" s="179"/>
      <c r="FK106" s="179"/>
      <c r="FL106" s="179"/>
      <c r="FM106" s="179"/>
      <c r="FN106" s="179"/>
      <c r="FO106" s="179"/>
      <c r="FP106" s="179"/>
      <c r="FQ106" s="179"/>
      <c r="FR106" s="179"/>
      <c r="FS106" s="179"/>
      <c r="FT106" s="179"/>
      <c r="FU106" s="179"/>
      <c r="FV106" s="179"/>
      <c r="FW106" s="179"/>
      <c r="FX106" s="179"/>
      <c r="FY106" s="179"/>
      <c r="FZ106" s="179"/>
      <c r="GA106" s="179"/>
      <c r="GB106" s="179"/>
      <c r="GC106" s="179"/>
      <c r="GD106" s="179"/>
      <c r="GE106" s="179"/>
      <c r="GF106" s="179"/>
      <c r="GG106" s="179"/>
      <c r="GH106" s="179"/>
      <c r="GI106" s="179"/>
      <c r="GJ106" s="179"/>
      <c r="GK106" s="179"/>
      <c r="GL106" s="179"/>
      <c r="GM106" s="179"/>
      <c r="GN106" s="179"/>
      <c r="GO106" s="179"/>
      <c r="GP106" s="179"/>
      <c r="GQ106" s="179"/>
      <c r="GR106" s="179"/>
      <c r="GS106" s="179"/>
      <c r="GT106" s="179"/>
      <c r="GU106" s="179"/>
      <c r="GV106" s="179"/>
      <c r="GW106" s="179"/>
      <c r="GX106" s="179"/>
      <c r="GY106" s="179"/>
      <c r="GZ106" s="179"/>
      <c r="HA106" s="179"/>
      <c r="HB106" s="179"/>
      <c r="HC106" s="179"/>
      <c r="HD106" s="179"/>
      <c r="HE106" s="179"/>
      <c r="HF106" s="179"/>
      <c r="HG106" s="179"/>
      <c r="HH106" s="179"/>
      <c r="HI106" s="179"/>
      <c r="HJ106" s="179"/>
      <c r="HK106" s="179"/>
      <c r="HL106" s="179"/>
      <c r="HM106" s="179"/>
      <c r="HN106" s="179"/>
      <c r="HO106" s="179"/>
      <c r="HP106" s="179"/>
      <c r="HQ106" s="179"/>
      <c r="HR106" s="179"/>
      <c r="HS106" s="179"/>
      <c r="HT106" s="179"/>
      <c r="HU106" s="179"/>
      <c r="HV106" s="179"/>
      <c r="HW106" s="179"/>
      <c r="HX106" s="179"/>
      <c r="HY106" s="179"/>
      <c r="HZ106" s="179"/>
      <c r="IA106" s="179"/>
      <c r="IB106" s="179"/>
      <c r="IC106" s="179"/>
      <c r="ID106" s="179"/>
      <c r="IE106" s="179"/>
      <c r="IF106" s="179"/>
      <c r="IG106" s="179"/>
      <c r="IH106" s="179"/>
      <c r="II106" s="179"/>
      <c r="IJ106" s="179"/>
      <c r="IK106" s="179"/>
      <c r="IL106" s="179"/>
      <c r="IM106" s="179"/>
      <c r="IN106" s="179"/>
      <c r="IO106" s="179"/>
      <c r="IP106" s="179"/>
      <c r="IQ106" s="179"/>
      <c r="IR106" s="179"/>
    </row>
    <row r="107" spans="1:252">
      <c r="A107" s="181" t="s">
        <v>600</v>
      </c>
      <c r="B107" s="327">
        <f>D87*70*1.48</f>
        <v>7977.2</v>
      </c>
      <c r="C107" s="181">
        <f>ROUND(B107/B91/12,2)</f>
        <v>0.78</v>
      </c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  <c r="CH107" s="179"/>
      <c r="CI107" s="179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E107" s="179"/>
      <c r="DF107" s="179"/>
      <c r="DG107" s="179"/>
      <c r="DH107" s="179"/>
      <c r="DI107" s="179"/>
      <c r="DJ107" s="179"/>
      <c r="DK107" s="179"/>
      <c r="DL107" s="179"/>
      <c r="DM107" s="179"/>
      <c r="DN107" s="179"/>
      <c r="DO107" s="179"/>
      <c r="DP107" s="179"/>
      <c r="DQ107" s="179"/>
      <c r="DR107" s="179"/>
      <c r="DS107" s="179"/>
      <c r="DT107" s="179"/>
      <c r="DU107" s="179"/>
      <c r="DV107" s="179"/>
      <c r="DW107" s="179"/>
      <c r="DX107" s="179"/>
      <c r="DY107" s="179"/>
      <c r="DZ107" s="179"/>
      <c r="EA107" s="179"/>
      <c r="EB107" s="179"/>
      <c r="EC107" s="179"/>
      <c r="ED107" s="179"/>
      <c r="EE107" s="179"/>
      <c r="EF107" s="179"/>
      <c r="EG107" s="179"/>
      <c r="EH107" s="179"/>
      <c r="EI107" s="179"/>
      <c r="EJ107" s="179"/>
      <c r="EK107" s="179"/>
      <c r="EL107" s="179"/>
      <c r="EM107" s="179"/>
      <c r="EN107" s="179"/>
      <c r="EO107" s="179"/>
      <c r="EP107" s="179"/>
      <c r="EQ107" s="179"/>
      <c r="ER107" s="179"/>
      <c r="ES107" s="179"/>
      <c r="ET107" s="179"/>
      <c r="EU107" s="179"/>
      <c r="EV107" s="179"/>
      <c r="EW107" s="179"/>
      <c r="EX107" s="179"/>
      <c r="EY107" s="179"/>
      <c r="EZ107" s="179"/>
      <c r="FA107" s="179"/>
      <c r="FB107" s="179"/>
      <c r="FC107" s="179"/>
      <c r="FD107" s="179"/>
      <c r="FE107" s="179"/>
      <c r="FF107" s="179"/>
      <c r="FG107" s="179"/>
      <c r="FH107" s="179"/>
      <c r="FI107" s="179"/>
      <c r="FJ107" s="179"/>
      <c r="FK107" s="179"/>
      <c r="FL107" s="179"/>
      <c r="FM107" s="179"/>
      <c r="FN107" s="179"/>
      <c r="FO107" s="179"/>
      <c r="FP107" s="179"/>
      <c r="FQ107" s="179"/>
      <c r="FR107" s="179"/>
      <c r="FS107" s="179"/>
      <c r="FT107" s="179"/>
      <c r="FU107" s="179"/>
      <c r="FV107" s="179"/>
      <c r="FW107" s="179"/>
      <c r="FX107" s="179"/>
      <c r="FY107" s="179"/>
      <c r="FZ107" s="179"/>
      <c r="GA107" s="179"/>
      <c r="GB107" s="179"/>
      <c r="GC107" s="179"/>
      <c r="GD107" s="179"/>
      <c r="GE107" s="179"/>
      <c r="GF107" s="179"/>
      <c r="GG107" s="179"/>
      <c r="GH107" s="179"/>
      <c r="GI107" s="179"/>
      <c r="GJ107" s="179"/>
      <c r="GK107" s="179"/>
      <c r="GL107" s="179"/>
      <c r="GM107" s="179"/>
      <c r="GN107" s="179"/>
      <c r="GO107" s="179"/>
      <c r="GP107" s="179"/>
      <c r="GQ107" s="179"/>
      <c r="GR107" s="179"/>
      <c r="GS107" s="179"/>
      <c r="GT107" s="179"/>
      <c r="GU107" s="179"/>
      <c r="GV107" s="179"/>
      <c r="GW107" s="179"/>
      <c r="GX107" s="179"/>
      <c r="GY107" s="179"/>
      <c r="GZ107" s="179"/>
      <c r="HA107" s="179"/>
      <c r="HB107" s="179"/>
      <c r="HC107" s="179"/>
      <c r="HD107" s="179"/>
      <c r="HE107" s="179"/>
      <c r="HF107" s="179"/>
      <c r="HG107" s="179"/>
      <c r="HH107" s="179"/>
      <c r="HI107" s="179"/>
      <c r="HJ107" s="179"/>
      <c r="HK107" s="179"/>
      <c r="HL107" s="179"/>
      <c r="HM107" s="179"/>
      <c r="HN107" s="179"/>
      <c r="HO107" s="179"/>
      <c r="HP107" s="179"/>
      <c r="HQ107" s="179"/>
      <c r="HR107" s="179"/>
      <c r="HS107" s="179"/>
      <c r="HT107" s="179"/>
      <c r="HU107" s="179"/>
      <c r="HV107" s="179"/>
      <c r="HW107" s="179"/>
      <c r="HX107" s="179"/>
      <c r="HY107" s="179"/>
      <c r="HZ107" s="179"/>
      <c r="IA107" s="179"/>
      <c r="IB107" s="179"/>
      <c r="IC107" s="179"/>
      <c r="ID107" s="179"/>
      <c r="IE107" s="179"/>
      <c r="IF107" s="179"/>
      <c r="IG107" s="179"/>
      <c r="IH107" s="179"/>
      <c r="II107" s="179"/>
      <c r="IJ107" s="179"/>
      <c r="IK107" s="179"/>
      <c r="IL107" s="179"/>
      <c r="IM107" s="179"/>
      <c r="IN107" s="179"/>
      <c r="IO107" s="179"/>
      <c r="IP107" s="179"/>
      <c r="IQ107" s="179"/>
      <c r="IR107" s="179"/>
    </row>
    <row r="108" spans="1:252">
      <c r="A108" s="181" t="s">
        <v>611</v>
      </c>
      <c r="B108" s="327">
        <f>0.01*9100*12*1.302*1.48</f>
        <v>2104.2403200000003</v>
      </c>
      <c r="C108" s="181">
        <f>ROUND(B108/B91/12,2)</f>
        <v>0.21</v>
      </c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/>
      <c r="CG108" s="179"/>
      <c r="CH108" s="179"/>
      <c r="CI108" s="179"/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  <c r="DB108" s="179"/>
      <c r="DC108" s="179"/>
      <c r="DD108" s="179"/>
      <c r="DE108" s="179"/>
      <c r="DF108" s="179"/>
      <c r="DG108" s="179"/>
      <c r="DH108" s="179"/>
      <c r="DI108" s="179"/>
      <c r="DJ108" s="179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  <c r="DU108" s="179"/>
      <c r="DV108" s="179"/>
      <c r="DW108" s="179"/>
      <c r="DX108" s="179"/>
      <c r="DY108" s="179"/>
      <c r="DZ108" s="179"/>
      <c r="EA108" s="179"/>
      <c r="EB108" s="179"/>
      <c r="EC108" s="179"/>
      <c r="ED108" s="179"/>
      <c r="EE108" s="179"/>
      <c r="EF108" s="179"/>
      <c r="EG108" s="179"/>
      <c r="EH108" s="179"/>
      <c r="EI108" s="179"/>
      <c r="EJ108" s="179"/>
      <c r="EK108" s="179"/>
      <c r="EL108" s="179"/>
      <c r="EM108" s="179"/>
      <c r="EN108" s="179"/>
      <c r="EO108" s="179"/>
      <c r="EP108" s="179"/>
      <c r="EQ108" s="179"/>
      <c r="ER108" s="179"/>
      <c r="ES108" s="179"/>
      <c r="ET108" s="179"/>
      <c r="EU108" s="179"/>
      <c r="EV108" s="179"/>
      <c r="EW108" s="179"/>
      <c r="EX108" s="179"/>
      <c r="EY108" s="179"/>
      <c r="EZ108" s="179"/>
      <c r="FA108" s="179"/>
      <c r="FB108" s="179"/>
      <c r="FC108" s="179"/>
      <c r="FD108" s="179"/>
      <c r="FE108" s="179"/>
      <c r="FF108" s="179"/>
      <c r="FG108" s="179"/>
      <c r="FH108" s="179"/>
      <c r="FI108" s="179"/>
      <c r="FJ108" s="179"/>
      <c r="FK108" s="179"/>
      <c r="FL108" s="179"/>
      <c r="FM108" s="179"/>
      <c r="FN108" s="179"/>
      <c r="FO108" s="179"/>
      <c r="FP108" s="179"/>
      <c r="FQ108" s="179"/>
      <c r="FR108" s="179"/>
      <c r="FS108" s="179"/>
      <c r="FT108" s="179"/>
      <c r="FU108" s="179"/>
      <c r="FV108" s="179"/>
      <c r="FW108" s="179"/>
      <c r="FX108" s="179"/>
      <c r="FY108" s="179"/>
      <c r="FZ108" s="179"/>
      <c r="GA108" s="179"/>
      <c r="GB108" s="179"/>
      <c r="GC108" s="179"/>
      <c r="GD108" s="179"/>
      <c r="GE108" s="179"/>
      <c r="GF108" s="179"/>
      <c r="GG108" s="179"/>
      <c r="GH108" s="179"/>
      <c r="GI108" s="179"/>
      <c r="GJ108" s="179"/>
      <c r="GK108" s="179"/>
      <c r="GL108" s="179"/>
      <c r="GM108" s="179"/>
      <c r="GN108" s="179"/>
      <c r="GO108" s="179"/>
      <c r="GP108" s="179"/>
      <c r="GQ108" s="179"/>
      <c r="GR108" s="179"/>
      <c r="GS108" s="179"/>
      <c r="GT108" s="179"/>
      <c r="GU108" s="179"/>
      <c r="GV108" s="179"/>
      <c r="GW108" s="179"/>
      <c r="GX108" s="179"/>
      <c r="GY108" s="179"/>
      <c r="GZ108" s="179"/>
      <c r="HA108" s="179"/>
      <c r="HB108" s="179"/>
      <c r="HC108" s="179"/>
      <c r="HD108" s="179"/>
      <c r="HE108" s="179"/>
      <c r="HF108" s="179"/>
      <c r="HG108" s="179"/>
      <c r="HH108" s="179"/>
      <c r="HI108" s="179"/>
      <c r="HJ108" s="179"/>
      <c r="HK108" s="179"/>
      <c r="HL108" s="179"/>
      <c r="HM108" s="179"/>
      <c r="HN108" s="179"/>
      <c r="HO108" s="179"/>
      <c r="HP108" s="179"/>
      <c r="HQ108" s="179"/>
      <c r="HR108" s="179"/>
      <c r="HS108" s="179"/>
      <c r="HT108" s="179"/>
      <c r="HU108" s="179"/>
      <c r="HV108" s="179"/>
      <c r="HW108" s="179"/>
      <c r="HX108" s="179"/>
      <c r="HY108" s="179"/>
      <c r="HZ108" s="179"/>
      <c r="IA108" s="179"/>
      <c r="IB108" s="179"/>
      <c r="IC108" s="179"/>
      <c r="ID108" s="179"/>
      <c r="IE108" s="179"/>
      <c r="IF108" s="179"/>
      <c r="IG108" s="179"/>
      <c r="IH108" s="179"/>
      <c r="II108" s="179"/>
      <c r="IJ108" s="179"/>
      <c r="IK108" s="179"/>
      <c r="IL108" s="179"/>
      <c r="IM108" s="179"/>
      <c r="IN108" s="179"/>
      <c r="IO108" s="179"/>
      <c r="IP108" s="179"/>
      <c r="IQ108" s="179"/>
      <c r="IR108" s="179"/>
    </row>
    <row r="109" spans="1:252">
      <c r="A109" s="181" t="s">
        <v>602</v>
      </c>
      <c r="B109" s="327">
        <f>C87</f>
        <v>461.5</v>
      </c>
      <c r="C109" s="181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79"/>
      <c r="CC109" s="179"/>
      <c r="CD109" s="179"/>
      <c r="CE109" s="179"/>
      <c r="CF109" s="179"/>
      <c r="CG109" s="179"/>
      <c r="CH109" s="179"/>
      <c r="CI109" s="179"/>
      <c r="CJ109" s="179"/>
      <c r="CK109" s="179"/>
      <c r="CL109" s="179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179"/>
      <c r="DA109" s="179"/>
      <c r="DB109" s="179"/>
      <c r="DC109" s="179"/>
      <c r="DD109" s="179"/>
      <c r="DE109" s="179"/>
      <c r="DF109" s="179"/>
      <c r="DG109" s="179"/>
      <c r="DH109" s="179"/>
      <c r="DI109" s="179"/>
      <c r="DJ109" s="179"/>
      <c r="DK109" s="179"/>
      <c r="DL109" s="179"/>
      <c r="DM109" s="179"/>
      <c r="DN109" s="179"/>
      <c r="DO109" s="179"/>
      <c r="DP109" s="179"/>
      <c r="DQ109" s="179"/>
      <c r="DR109" s="179"/>
      <c r="DS109" s="179"/>
      <c r="DT109" s="179"/>
      <c r="DU109" s="179"/>
      <c r="DV109" s="179"/>
      <c r="DW109" s="179"/>
      <c r="DX109" s="179"/>
      <c r="DY109" s="179"/>
      <c r="DZ109" s="179"/>
      <c r="EA109" s="179"/>
      <c r="EB109" s="179"/>
      <c r="EC109" s="179"/>
      <c r="ED109" s="179"/>
      <c r="EE109" s="179"/>
      <c r="EF109" s="179"/>
      <c r="EG109" s="179"/>
      <c r="EH109" s="179"/>
      <c r="EI109" s="179"/>
      <c r="EJ109" s="179"/>
      <c r="EK109" s="179"/>
      <c r="EL109" s="179"/>
      <c r="EM109" s="179"/>
      <c r="EN109" s="179"/>
      <c r="EO109" s="179"/>
      <c r="EP109" s="179"/>
      <c r="EQ109" s="179"/>
      <c r="ER109" s="179"/>
      <c r="ES109" s="179"/>
      <c r="ET109" s="179"/>
      <c r="EU109" s="179"/>
      <c r="EV109" s="179"/>
      <c r="EW109" s="179"/>
      <c r="EX109" s="179"/>
      <c r="EY109" s="179"/>
      <c r="EZ109" s="179"/>
      <c r="FA109" s="179"/>
      <c r="FB109" s="179"/>
      <c r="FC109" s="179"/>
      <c r="FD109" s="179"/>
      <c r="FE109" s="179"/>
      <c r="FF109" s="179"/>
      <c r="FG109" s="179"/>
      <c r="FH109" s="179"/>
      <c r="FI109" s="179"/>
      <c r="FJ109" s="179"/>
      <c r="FK109" s="179"/>
      <c r="FL109" s="179"/>
      <c r="FM109" s="179"/>
      <c r="FN109" s="179"/>
      <c r="FO109" s="179"/>
      <c r="FP109" s="179"/>
      <c r="FQ109" s="179"/>
      <c r="FR109" s="179"/>
      <c r="FS109" s="179"/>
      <c r="FT109" s="179"/>
      <c r="FU109" s="179"/>
      <c r="FV109" s="179"/>
      <c r="FW109" s="179"/>
      <c r="FX109" s="179"/>
      <c r="FY109" s="179"/>
      <c r="FZ109" s="179"/>
      <c r="GA109" s="179"/>
      <c r="GB109" s="179"/>
      <c r="GC109" s="179"/>
      <c r="GD109" s="179"/>
      <c r="GE109" s="179"/>
      <c r="GF109" s="179"/>
      <c r="GG109" s="179"/>
      <c r="GH109" s="179"/>
      <c r="GI109" s="179"/>
      <c r="GJ109" s="179"/>
      <c r="GK109" s="179"/>
      <c r="GL109" s="179"/>
      <c r="GM109" s="179"/>
      <c r="GN109" s="179"/>
      <c r="GO109" s="179"/>
      <c r="GP109" s="179"/>
      <c r="GQ109" s="179"/>
      <c r="GR109" s="179"/>
      <c r="GS109" s="179"/>
      <c r="GT109" s="179"/>
      <c r="GU109" s="179"/>
      <c r="GV109" s="179"/>
      <c r="GW109" s="179"/>
      <c r="GX109" s="179"/>
      <c r="GY109" s="179"/>
      <c r="GZ109" s="179"/>
      <c r="HA109" s="179"/>
      <c r="HB109" s="179"/>
      <c r="HC109" s="179"/>
      <c r="HD109" s="179"/>
      <c r="HE109" s="179"/>
      <c r="HF109" s="179"/>
      <c r="HG109" s="179"/>
      <c r="HH109" s="179"/>
      <c r="HI109" s="179"/>
      <c r="HJ109" s="179"/>
      <c r="HK109" s="179"/>
      <c r="HL109" s="179"/>
      <c r="HM109" s="179"/>
      <c r="HN109" s="179"/>
      <c r="HO109" s="179"/>
      <c r="HP109" s="179"/>
      <c r="HQ109" s="179"/>
      <c r="HR109" s="179"/>
      <c r="HS109" s="179"/>
      <c r="HT109" s="179"/>
      <c r="HU109" s="179"/>
      <c r="HV109" s="179"/>
      <c r="HW109" s="179"/>
      <c r="HX109" s="179"/>
      <c r="HY109" s="179"/>
      <c r="HZ109" s="179"/>
      <c r="IA109" s="179"/>
      <c r="IB109" s="179"/>
      <c r="IC109" s="179"/>
      <c r="ID109" s="179"/>
      <c r="IE109" s="179"/>
      <c r="IF109" s="179"/>
      <c r="IG109" s="179"/>
      <c r="IH109" s="179"/>
      <c r="II109" s="179"/>
      <c r="IJ109" s="179"/>
      <c r="IK109" s="179"/>
      <c r="IL109" s="179"/>
      <c r="IM109" s="179"/>
      <c r="IN109" s="179"/>
      <c r="IO109" s="179"/>
      <c r="IP109" s="179"/>
      <c r="IQ109" s="179"/>
      <c r="IR109" s="179"/>
    </row>
    <row r="110" spans="1:252">
      <c r="A110" s="181" t="s">
        <v>603</v>
      </c>
      <c r="B110" s="327">
        <f>B109*110*1.302*1.48</f>
        <v>97822.124400000001</v>
      </c>
      <c r="C110" s="181">
        <f>ROUND(B110/B91/12,2)</f>
        <v>9.6300000000000008</v>
      </c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79"/>
      <c r="CS110" s="179"/>
      <c r="CT110" s="179"/>
      <c r="CU110" s="179"/>
      <c r="CV110" s="179"/>
      <c r="CW110" s="179"/>
      <c r="CX110" s="179"/>
      <c r="CY110" s="179"/>
      <c r="CZ110" s="179"/>
      <c r="DA110" s="179"/>
      <c r="DB110" s="179"/>
      <c r="DC110" s="179"/>
      <c r="DD110" s="179"/>
      <c r="DE110" s="179"/>
      <c r="DF110" s="179"/>
      <c r="DG110" s="179"/>
      <c r="DH110" s="179"/>
      <c r="DI110" s="179"/>
      <c r="DJ110" s="179"/>
      <c r="DK110" s="179"/>
      <c r="DL110" s="179"/>
      <c r="DM110" s="179"/>
      <c r="DN110" s="179"/>
      <c r="DO110" s="179"/>
      <c r="DP110" s="179"/>
      <c r="DQ110" s="179"/>
      <c r="DR110" s="179"/>
      <c r="DS110" s="179"/>
      <c r="DT110" s="179"/>
      <c r="DU110" s="179"/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9"/>
      <c r="EF110" s="179"/>
      <c r="EG110" s="179"/>
      <c r="EH110" s="179"/>
      <c r="EI110" s="179"/>
      <c r="EJ110" s="179"/>
      <c r="EK110" s="179"/>
      <c r="EL110" s="179"/>
      <c r="EM110" s="179"/>
      <c r="EN110" s="179"/>
      <c r="EO110" s="179"/>
      <c r="EP110" s="179"/>
      <c r="EQ110" s="179"/>
      <c r="ER110" s="179"/>
      <c r="ES110" s="179"/>
      <c r="ET110" s="179"/>
      <c r="EU110" s="179"/>
      <c r="EV110" s="179"/>
      <c r="EW110" s="179"/>
      <c r="EX110" s="179"/>
      <c r="EY110" s="179"/>
      <c r="EZ110" s="179"/>
      <c r="FA110" s="179"/>
      <c r="FB110" s="179"/>
      <c r="FC110" s="179"/>
      <c r="FD110" s="179"/>
      <c r="FE110" s="179"/>
      <c r="FF110" s="179"/>
      <c r="FG110" s="179"/>
      <c r="FH110" s="179"/>
      <c r="FI110" s="179"/>
      <c r="FJ110" s="179"/>
      <c r="FK110" s="179"/>
      <c r="FL110" s="179"/>
      <c r="FM110" s="179"/>
      <c r="FN110" s="179"/>
      <c r="FO110" s="179"/>
      <c r="FP110" s="179"/>
      <c r="FQ110" s="179"/>
      <c r="FR110" s="179"/>
      <c r="FS110" s="179"/>
      <c r="FT110" s="179"/>
      <c r="FU110" s="179"/>
      <c r="FV110" s="179"/>
      <c r="FW110" s="179"/>
      <c r="FX110" s="179"/>
      <c r="FY110" s="179"/>
      <c r="FZ110" s="179"/>
      <c r="GA110" s="179"/>
      <c r="GB110" s="179"/>
      <c r="GC110" s="179"/>
      <c r="GD110" s="179"/>
      <c r="GE110" s="179"/>
      <c r="GF110" s="179"/>
      <c r="GG110" s="179"/>
      <c r="GH110" s="179"/>
      <c r="GI110" s="179"/>
      <c r="GJ110" s="179"/>
      <c r="GK110" s="179"/>
      <c r="GL110" s="179"/>
      <c r="GM110" s="179"/>
      <c r="GN110" s="179"/>
      <c r="GO110" s="179"/>
      <c r="GP110" s="179"/>
      <c r="GQ110" s="179"/>
      <c r="GR110" s="179"/>
      <c r="GS110" s="179"/>
      <c r="GT110" s="179"/>
      <c r="GU110" s="179"/>
      <c r="GV110" s="179"/>
      <c r="GW110" s="179"/>
      <c r="GX110" s="179"/>
      <c r="GY110" s="179"/>
      <c r="GZ110" s="179"/>
      <c r="HA110" s="179"/>
      <c r="HB110" s="179"/>
      <c r="HC110" s="179"/>
      <c r="HD110" s="179"/>
      <c r="HE110" s="179"/>
      <c r="HF110" s="179"/>
      <c r="HG110" s="179"/>
      <c r="HH110" s="179"/>
      <c r="HI110" s="179"/>
      <c r="HJ110" s="179"/>
      <c r="HK110" s="179"/>
      <c r="HL110" s="179"/>
      <c r="HM110" s="179"/>
      <c r="HN110" s="179"/>
      <c r="HO110" s="179"/>
      <c r="HP110" s="179"/>
      <c r="HQ110" s="179"/>
      <c r="HR110" s="179"/>
      <c r="HS110" s="179"/>
      <c r="HT110" s="179"/>
      <c r="HU110" s="179"/>
      <c r="HV110" s="179"/>
      <c r="HW110" s="179"/>
      <c r="HX110" s="179"/>
      <c r="HY110" s="179"/>
      <c r="HZ110" s="179"/>
      <c r="IA110" s="179"/>
      <c r="IB110" s="179"/>
      <c r="IC110" s="179"/>
      <c r="ID110" s="179"/>
      <c r="IE110" s="179"/>
      <c r="IF110" s="179"/>
      <c r="IG110" s="179"/>
      <c r="IH110" s="179"/>
      <c r="II110" s="179"/>
      <c r="IJ110" s="179"/>
      <c r="IK110" s="179"/>
      <c r="IL110" s="179"/>
      <c r="IM110" s="179"/>
      <c r="IN110" s="179"/>
      <c r="IO110" s="179"/>
      <c r="IP110" s="179"/>
      <c r="IQ110" s="179"/>
      <c r="IR110" s="179"/>
    </row>
    <row r="111" spans="1:252">
      <c r="A111" s="181" t="s">
        <v>1127</v>
      </c>
      <c r="B111" s="327">
        <v>6895.92</v>
      </c>
      <c r="C111" s="181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79"/>
      <c r="DA111" s="179"/>
      <c r="DB111" s="179"/>
      <c r="DC111" s="179"/>
      <c r="DD111" s="179"/>
      <c r="DE111" s="179"/>
      <c r="DF111" s="179"/>
      <c r="DG111" s="179"/>
      <c r="DH111" s="179"/>
      <c r="DI111" s="179"/>
      <c r="DJ111" s="179"/>
      <c r="DK111" s="179"/>
      <c r="DL111" s="179"/>
      <c r="DM111" s="179"/>
      <c r="DN111" s="179"/>
      <c r="DO111" s="179"/>
      <c r="DP111" s="179"/>
      <c r="DQ111" s="179"/>
      <c r="DR111" s="179"/>
      <c r="DS111" s="179"/>
      <c r="DT111" s="179"/>
      <c r="DU111" s="179"/>
      <c r="DV111" s="179"/>
      <c r="DW111" s="179"/>
      <c r="DX111" s="179"/>
      <c r="DY111" s="179"/>
      <c r="DZ111" s="179"/>
      <c r="EA111" s="179"/>
      <c r="EB111" s="179"/>
      <c r="EC111" s="179"/>
      <c r="ED111" s="179"/>
      <c r="EE111" s="179"/>
      <c r="EF111" s="179"/>
      <c r="EG111" s="179"/>
      <c r="EH111" s="179"/>
      <c r="EI111" s="179"/>
      <c r="EJ111" s="179"/>
      <c r="EK111" s="179"/>
      <c r="EL111" s="179"/>
      <c r="EM111" s="179"/>
      <c r="EN111" s="179"/>
      <c r="EO111" s="179"/>
      <c r="EP111" s="179"/>
      <c r="EQ111" s="179"/>
      <c r="ER111" s="179"/>
      <c r="ES111" s="179"/>
      <c r="ET111" s="179"/>
      <c r="EU111" s="179"/>
      <c r="EV111" s="179"/>
      <c r="EW111" s="179"/>
      <c r="EX111" s="179"/>
      <c r="EY111" s="179"/>
      <c r="EZ111" s="179"/>
      <c r="FA111" s="179"/>
      <c r="FB111" s="179"/>
      <c r="FC111" s="179"/>
      <c r="FD111" s="179"/>
      <c r="FE111" s="179"/>
      <c r="FF111" s="179"/>
      <c r="FG111" s="179"/>
      <c r="FH111" s="179"/>
      <c r="FI111" s="179"/>
      <c r="FJ111" s="179"/>
      <c r="FK111" s="179"/>
      <c r="FL111" s="179"/>
      <c r="FM111" s="179"/>
      <c r="FN111" s="179"/>
      <c r="FO111" s="179"/>
      <c r="FP111" s="179"/>
      <c r="FQ111" s="179"/>
      <c r="FR111" s="179"/>
      <c r="FS111" s="179"/>
      <c r="FT111" s="179"/>
      <c r="FU111" s="179"/>
      <c r="FV111" s="179"/>
      <c r="FW111" s="179"/>
      <c r="FX111" s="179"/>
      <c r="FY111" s="179"/>
      <c r="FZ111" s="179"/>
      <c r="GA111" s="179"/>
      <c r="GB111" s="179"/>
      <c r="GC111" s="179"/>
      <c r="GD111" s="179"/>
      <c r="GE111" s="179"/>
      <c r="GF111" s="179"/>
      <c r="GG111" s="179"/>
      <c r="GH111" s="179"/>
      <c r="GI111" s="179"/>
      <c r="GJ111" s="179"/>
      <c r="GK111" s="179"/>
      <c r="GL111" s="179"/>
      <c r="GM111" s="179"/>
      <c r="GN111" s="179"/>
      <c r="GO111" s="179"/>
      <c r="GP111" s="179"/>
      <c r="GQ111" s="179"/>
      <c r="GR111" s="179"/>
      <c r="GS111" s="179"/>
      <c r="GT111" s="179"/>
      <c r="GU111" s="179"/>
      <c r="GV111" s="179"/>
      <c r="GW111" s="179"/>
      <c r="GX111" s="179"/>
      <c r="GY111" s="179"/>
      <c r="GZ111" s="179"/>
      <c r="HA111" s="179"/>
      <c r="HB111" s="179"/>
      <c r="HC111" s="179"/>
      <c r="HD111" s="179"/>
      <c r="HE111" s="179"/>
      <c r="HF111" s="179"/>
      <c r="HG111" s="179"/>
      <c r="HH111" s="179"/>
      <c r="HI111" s="179"/>
      <c r="HJ111" s="179"/>
      <c r="HK111" s="179"/>
      <c r="HL111" s="179"/>
      <c r="HM111" s="179"/>
      <c r="HN111" s="179"/>
      <c r="HO111" s="179"/>
      <c r="HP111" s="179"/>
      <c r="HQ111" s="179"/>
      <c r="HR111" s="179"/>
      <c r="HS111" s="179"/>
      <c r="HT111" s="179"/>
      <c r="HU111" s="179"/>
      <c r="HV111" s="179"/>
      <c r="HW111" s="179"/>
      <c r="HX111" s="179"/>
      <c r="HY111" s="179"/>
      <c r="HZ111" s="179"/>
      <c r="IA111" s="179"/>
      <c r="IB111" s="179"/>
      <c r="IC111" s="179"/>
      <c r="ID111" s="179"/>
      <c r="IE111" s="179"/>
      <c r="IF111" s="179"/>
      <c r="IG111" s="179"/>
      <c r="IH111" s="179"/>
      <c r="II111" s="179"/>
      <c r="IJ111" s="179"/>
      <c r="IK111" s="179"/>
      <c r="IL111" s="179"/>
      <c r="IM111" s="179"/>
      <c r="IN111" s="179"/>
      <c r="IO111" s="179"/>
      <c r="IP111" s="179"/>
      <c r="IQ111" s="179"/>
      <c r="IR111" s="179"/>
    </row>
    <row r="112" spans="1:252">
      <c r="A112" s="181" t="s">
        <v>1128</v>
      </c>
      <c r="B112" s="327">
        <f>4878.16</f>
        <v>4878.16</v>
      </c>
      <c r="C112" s="181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179"/>
      <c r="CH112" s="179"/>
      <c r="CI112" s="179"/>
      <c r="CJ112" s="179"/>
      <c r="CK112" s="179"/>
      <c r="CL112" s="179"/>
      <c r="CM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9"/>
      <c r="CZ112" s="179"/>
      <c r="DA112" s="179"/>
      <c r="DB112" s="179"/>
      <c r="DC112" s="179"/>
      <c r="DD112" s="179"/>
      <c r="DE112" s="179"/>
      <c r="DF112" s="179"/>
      <c r="DG112" s="179"/>
      <c r="DH112" s="179"/>
      <c r="DI112" s="179"/>
      <c r="DJ112" s="179"/>
      <c r="DK112" s="179"/>
      <c r="DL112" s="179"/>
      <c r="DM112" s="179"/>
      <c r="DN112" s="179"/>
      <c r="DO112" s="179"/>
      <c r="DP112" s="179"/>
      <c r="DQ112" s="179"/>
      <c r="DR112" s="179"/>
      <c r="DS112" s="179"/>
      <c r="DT112" s="179"/>
      <c r="DU112" s="179"/>
      <c r="DV112" s="179"/>
      <c r="DW112" s="179"/>
      <c r="DX112" s="179"/>
      <c r="DY112" s="179"/>
      <c r="DZ112" s="179"/>
      <c r="EA112" s="179"/>
      <c r="EB112" s="179"/>
      <c r="EC112" s="179"/>
      <c r="ED112" s="179"/>
      <c r="EE112" s="179"/>
      <c r="EF112" s="179"/>
      <c r="EG112" s="179"/>
      <c r="EH112" s="179"/>
      <c r="EI112" s="179"/>
      <c r="EJ112" s="179"/>
      <c r="EK112" s="179"/>
      <c r="EL112" s="179"/>
      <c r="EM112" s="179"/>
      <c r="EN112" s="179"/>
      <c r="EO112" s="179"/>
      <c r="EP112" s="179"/>
      <c r="EQ112" s="179"/>
      <c r="ER112" s="179"/>
      <c r="ES112" s="179"/>
      <c r="ET112" s="179"/>
      <c r="EU112" s="179"/>
      <c r="EV112" s="179"/>
      <c r="EW112" s="179"/>
      <c r="EX112" s="179"/>
      <c r="EY112" s="179"/>
      <c r="EZ112" s="179"/>
      <c r="FA112" s="179"/>
      <c r="FB112" s="179"/>
      <c r="FC112" s="179"/>
      <c r="FD112" s="179"/>
      <c r="FE112" s="179"/>
      <c r="FF112" s="179"/>
      <c r="FG112" s="179"/>
      <c r="FH112" s="179"/>
      <c r="FI112" s="179"/>
      <c r="FJ112" s="179"/>
      <c r="FK112" s="179"/>
      <c r="FL112" s="179"/>
      <c r="FM112" s="179"/>
      <c r="FN112" s="179"/>
      <c r="FO112" s="179"/>
      <c r="FP112" s="179"/>
      <c r="FQ112" s="179"/>
      <c r="FR112" s="179"/>
      <c r="FS112" s="179"/>
      <c r="FT112" s="179"/>
      <c r="FU112" s="179"/>
      <c r="FV112" s="179"/>
      <c r="FW112" s="179"/>
      <c r="FX112" s="179"/>
      <c r="FY112" s="179"/>
      <c r="FZ112" s="179"/>
      <c r="GA112" s="179"/>
      <c r="GB112" s="179"/>
      <c r="GC112" s="179"/>
      <c r="GD112" s="179"/>
      <c r="GE112" s="179"/>
      <c r="GF112" s="179"/>
      <c r="GG112" s="179"/>
      <c r="GH112" s="179"/>
      <c r="GI112" s="179"/>
      <c r="GJ112" s="179"/>
      <c r="GK112" s="179"/>
      <c r="GL112" s="179"/>
      <c r="GM112" s="179"/>
      <c r="GN112" s="179"/>
      <c r="GO112" s="179"/>
      <c r="GP112" s="179"/>
      <c r="GQ112" s="179"/>
      <c r="GR112" s="179"/>
      <c r="GS112" s="179"/>
      <c r="GT112" s="179"/>
      <c r="GU112" s="179"/>
      <c r="GV112" s="179"/>
      <c r="GW112" s="179"/>
      <c r="GX112" s="179"/>
      <c r="GY112" s="179"/>
      <c r="GZ112" s="179"/>
      <c r="HA112" s="179"/>
      <c r="HB112" s="179"/>
      <c r="HC112" s="179"/>
      <c r="HD112" s="179"/>
      <c r="HE112" s="179"/>
      <c r="HF112" s="179"/>
      <c r="HG112" s="179"/>
      <c r="HH112" s="179"/>
      <c r="HI112" s="179"/>
      <c r="HJ112" s="179"/>
      <c r="HK112" s="179"/>
      <c r="HL112" s="179"/>
      <c r="HM112" s="179"/>
      <c r="HN112" s="179"/>
      <c r="HO112" s="179"/>
      <c r="HP112" s="179"/>
      <c r="HQ112" s="179"/>
      <c r="HR112" s="179"/>
      <c r="HS112" s="179"/>
      <c r="HT112" s="179"/>
      <c r="HU112" s="179"/>
      <c r="HV112" s="179"/>
      <c r="HW112" s="179"/>
      <c r="HX112" s="179"/>
      <c r="HY112" s="179"/>
      <c r="HZ112" s="179"/>
      <c r="IA112" s="179"/>
      <c r="IB112" s="179"/>
      <c r="IC112" s="179"/>
      <c r="ID112" s="179"/>
      <c r="IE112" s="179"/>
      <c r="IF112" s="179"/>
      <c r="IG112" s="179"/>
      <c r="IH112" s="179"/>
      <c r="II112" s="179"/>
      <c r="IJ112" s="179"/>
      <c r="IK112" s="179"/>
      <c r="IL112" s="179"/>
      <c r="IM112" s="179"/>
      <c r="IN112" s="179"/>
      <c r="IO112" s="179"/>
      <c r="IP112" s="179"/>
      <c r="IQ112" s="179"/>
      <c r="IR112" s="179"/>
    </row>
    <row r="113" spans="1:252">
      <c r="A113" s="181" t="s">
        <v>724</v>
      </c>
      <c r="B113" s="327">
        <f>26853.87*1.48</f>
        <v>39743.727599999998</v>
      </c>
      <c r="C113" s="181">
        <f>ROUND(B113/B91/12,2)</f>
        <v>3.91</v>
      </c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  <c r="CH113" s="179"/>
      <c r="CI113" s="179"/>
      <c r="CJ113" s="179"/>
      <c r="CK113" s="179"/>
      <c r="CL113" s="179"/>
      <c r="CM113" s="179"/>
      <c r="CN113" s="179"/>
      <c r="CO113" s="179"/>
      <c r="CP113" s="179"/>
      <c r="CQ113" s="179"/>
      <c r="CR113" s="179"/>
      <c r="CS113" s="179"/>
      <c r="CT113" s="179"/>
      <c r="CU113" s="179"/>
      <c r="CV113" s="179"/>
      <c r="CW113" s="179"/>
      <c r="CX113" s="179"/>
      <c r="CY113" s="179"/>
      <c r="CZ113" s="179"/>
      <c r="DA113" s="179"/>
      <c r="DB113" s="179"/>
      <c r="DC113" s="179"/>
      <c r="DD113" s="179"/>
      <c r="DE113" s="179"/>
      <c r="DF113" s="179"/>
      <c r="DG113" s="179"/>
      <c r="DH113" s="179"/>
      <c r="DI113" s="179"/>
      <c r="DJ113" s="179"/>
      <c r="DK113" s="179"/>
      <c r="DL113" s="179"/>
      <c r="DM113" s="179"/>
      <c r="DN113" s="179"/>
      <c r="DO113" s="179"/>
      <c r="DP113" s="179"/>
      <c r="DQ113" s="179"/>
      <c r="DR113" s="179"/>
      <c r="DS113" s="179"/>
      <c r="DT113" s="179"/>
      <c r="DU113" s="179"/>
      <c r="DV113" s="179"/>
      <c r="DW113" s="179"/>
      <c r="DX113" s="179"/>
      <c r="DY113" s="179"/>
      <c r="DZ113" s="179"/>
      <c r="EA113" s="179"/>
      <c r="EB113" s="179"/>
      <c r="EC113" s="179"/>
      <c r="ED113" s="179"/>
      <c r="EE113" s="179"/>
      <c r="EF113" s="179"/>
      <c r="EG113" s="179"/>
      <c r="EH113" s="179"/>
      <c r="EI113" s="179"/>
      <c r="EJ113" s="179"/>
      <c r="EK113" s="179"/>
      <c r="EL113" s="179"/>
      <c r="EM113" s="179"/>
      <c r="EN113" s="179"/>
      <c r="EO113" s="179"/>
      <c r="EP113" s="179"/>
      <c r="EQ113" s="179"/>
      <c r="ER113" s="179"/>
      <c r="ES113" s="179"/>
      <c r="ET113" s="179"/>
      <c r="EU113" s="179"/>
      <c r="EV113" s="179"/>
      <c r="EW113" s="179"/>
      <c r="EX113" s="179"/>
      <c r="EY113" s="179"/>
      <c r="EZ113" s="179"/>
      <c r="FA113" s="179"/>
      <c r="FB113" s="179"/>
      <c r="FC113" s="179"/>
      <c r="FD113" s="179"/>
      <c r="FE113" s="179"/>
      <c r="FF113" s="179"/>
      <c r="FG113" s="179"/>
      <c r="FH113" s="179"/>
      <c r="FI113" s="179"/>
      <c r="FJ113" s="179"/>
      <c r="FK113" s="179"/>
      <c r="FL113" s="179"/>
      <c r="FM113" s="179"/>
      <c r="FN113" s="179"/>
      <c r="FO113" s="179"/>
      <c r="FP113" s="179"/>
      <c r="FQ113" s="179"/>
      <c r="FR113" s="179"/>
      <c r="FS113" s="179"/>
      <c r="FT113" s="179"/>
      <c r="FU113" s="179"/>
      <c r="FV113" s="179"/>
      <c r="FW113" s="179"/>
      <c r="FX113" s="179"/>
      <c r="FY113" s="179"/>
      <c r="FZ113" s="179"/>
      <c r="GA113" s="179"/>
      <c r="GB113" s="179"/>
      <c r="GC113" s="179"/>
      <c r="GD113" s="179"/>
      <c r="GE113" s="179"/>
      <c r="GF113" s="179"/>
      <c r="GG113" s="179"/>
      <c r="GH113" s="179"/>
      <c r="GI113" s="179"/>
      <c r="GJ113" s="179"/>
      <c r="GK113" s="179"/>
      <c r="GL113" s="179"/>
      <c r="GM113" s="179"/>
      <c r="GN113" s="179"/>
      <c r="GO113" s="179"/>
      <c r="GP113" s="179"/>
      <c r="GQ113" s="179"/>
      <c r="GR113" s="179"/>
      <c r="GS113" s="179"/>
      <c r="GT113" s="179"/>
      <c r="GU113" s="179"/>
      <c r="GV113" s="179"/>
      <c r="GW113" s="179"/>
      <c r="GX113" s="179"/>
      <c r="GY113" s="179"/>
      <c r="GZ113" s="179"/>
      <c r="HA113" s="179"/>
      <c r="HB113" s="179"/>
      <c r="HC113" s="179"/>
      <c r="HD113" s="179"/>
      <c r="HE113" s="179"/>
      <c r="HF113" s="179"/>
      <c r="HG113" s="179"/>
      <c r="HH113" s="179"/>
      <c r="HI113" s="179"/>
      <c r="HJ113" s="179"/>
      <c r="HK113" s="179"/>
      <c r="HL113" s="179"/>
      <c r="HM113" s="179"/>
      <c r="HN113" s="179"/>
      <c r="HO113" s="179"/>
      <c r="HP113" s="179"/>
      <c r="HQ113" s="179"/>
      <c r="HR113" s="179"/>
      <c r="HS113" s="179"/>
      <c r="HT113" s="179"/>
      <c r="HU113" s="179"/>
      <c r="HV113" s="179"/>
      <c r="HW113" s="179"/>
      <c r="HX113" s="179"/>
      <c r="HY113" s="179"/>
      <c r="HZ113" s="179"/>
      <c r="IA113" s="179"/>
      <c r="IB113" s="179"/>
      <c r="IC113" s="179"/>
      <c r="ID113" s="179"/>
      <c r="IE113" s="179"/>
      <c r="IF113" s="179"/>
      <c r="IG113" s="179"/>
      <c r="IH113" s="179"/>
      <c r="II113" s="179"/>
      <c r="IJ113" s="179"/>
      <c r="IK113" s="179"/>
      <c r="IL113" s="179"/>
      <c r="IM113" s="179"/>
      <c r="IN113" s="179"/>
      <c r="IO113" s="179"/>
      <c r="IP113" s="179"/>
      <c r="IQ113" s="179"/>
      <c r="IR113" s="179"/>
    </row>
    <row r="114" spans="1:252">
      <c r="A114" s="181" t="s">
        <v>1129</v>
      </c>
      <c r="B114" s="327">
        <v>23423.51</v>
      </c>
      <c r="C114" s="181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  <c r="CH114" s="179"/>
      <c r="CI114" s="179"/>
      <c r="CJ114" s="179"/>
      <c r="CK114" s="179"/>
      <c r="CL114" s="179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9"/>
      <c r="CZ114" s="179"/>
      <c r="DA114" s="179"/>
      <c r="DB114" s="179"/>
      <c r="DC114" s="179"/>
      <c r="DD114" s="179"/>
      <c r="DE114" s="179"/>
      <c r="DF114" s="179"/>
      <c r="DG114" s="179"/>
      <c r="DH114" s="179"/>
      <c r="DI114" s="179"/>
      <c r="DJ114" s="179"/>
      <c r="DK114" s="179"/>
      <c r="DL114" s="179"/>
      <c r="DM114" s="179"/>
      <c r="DN114" s="179"/>
      <c r="DO114" s="179"/>
      <c r="DP114" s="179"/>
      <c r="DQ114" s="179"/>
      <c r="DR114" s="179"/>
      <c r="DS114" s="179"/>
      <c r="DT114" s="179"/>
      <c r="DU114" s="179"/>
      <c r="DV114" s="179"/>
      <c r="DW114" s="179"/>
      <c r="DX114" s="179"/>
      <c r="DY114" s="179"/>
      <c r="DZ114" s="179"/>
      <c r="EA114" s="179"/>
      <c r="EB114" s="179"/>
      <c r="EC114" s="179"/>
      <c r="ED114" s="179"/>
      <c r="EE114" s="179"/>
      <c r="EF114" s="179"/>
      <c r="EG114" s="179"/>
      <c r="EH114" s="179"/>
      <c r="EI114" s="179"/>
      <c r="EJ114" s="179"/>
      <c r="EK114" s="179"/>
      <c r="EL114" s="179"/>
      <c r="EM114" s="179"/>
      <c r="EN114" s="179"/>
      <c r="EO114" s="179"/>
      <c r="EP114" s="179"/>
      <c r="EQ114" s="179"/>
      <c r="ER114" s="179"/>
      <c r="ES114" s="179"/>
      <c r="ET114" s="179"/>
      <c r="EU114" s="179"/>
      <c r="EV114" s="179"/>
      <c r="EW114" s="179"/>
      <c r="EX114" s="179"/>
      <c r="EY114" s="179"/>
      <c r="EZ114" s="179"/>
      <c r="FA114" s="179"/>
      <c r="FB114" s="179"/>
      <c r="FC114" s="179"/>
      <c r="FD114" s="179"/>
      <c r="FE114" s="179"/>
      <c r="FF114" s="179"/>
      <c r="FG114" s="179"/>
      <c r="FH114" s="179"/>
      <c r="FI114" s="179"/>
      <c r="FJ114" s="179"/>
      <c r="FK114" s="179"/>
      <c r="FL114" s="179"/>
      <c r="FM114" s="179"/>
      <c r="FN114" s="179"/>
      <c r="FO114" s="179"/>
      <c r="FP114" s="179"/>
      <c r="FQ114" s="179"/>
      <c r="FR114" s="179"/>
      <c r="FS114" s="179"/>
      <c r="FT114" s="179"/>
      <c r="FU114" s="179"/>
      <c r="FV114" s="179"/>
      <c r="FW114" s="179"/>
      <c r="FX114" s="179"/>
      <c r="FY114" s="179"/>
      <c r="FZ114" s="179"/>
      <c r="GA114" s="179"/>
      <c r="GB114" s="179"/>
      <c r="GC114" s="179"/>
      <c r="GD114" s="179"/>
      <c r="GE114" s="179"/>
      <c r="GF114" s="179"/>
      <c r="GG114" s="179"/>
      <c r="GH114" s="179"/>
      <c r="GI114" s="179"/>
      <c r="GJ114" s="179"/>
      <c r="GK114" s="179"/>
      <c r="GL114" s="179"/>
      <c r="GM114" s="179"/>
      <c r="GN114" s="179"/>
      <c r="GO114" s="179"/>
      <c r="GP114" s="179"/>
      <c r="GQ114" s="179"/>
      <c r="GR114" s="179"/>
      <c r="GS114" s="179"/>
      <c r="GT114" s="179"/>
      <c r="GU114" s="179"/>
      <c r="GV114" s="179"/>
      <c r="GW114" s="179"/>
      <c r="GX114" s="179"/>
      <c r="GY114" s="179"/>
      <c r="GZ114" s="179"/>
      <c r="HA114" s="179"/>
      <c r="HB114" s="179"/>
      <c r="HC114" s="179"/>
      <c r="HD114" s="179"/>
      <c r="HE114" s="179"/>
      <c r="HF114" s="179"/>
      <c r="HG114" s="179"/>
      <c r="HH114" s="179"/>
      <c r="HI114" s="179"/>
      <c r="HJ114" s="179"/>
      <c r="HK114" s="179"/>
      <c r="HL114" s="179"/>
      <c r="HM114" s="179"/>
      <c r="HN114" s="179"/>
      <c r="HO114" s="179"/>
      <c r="HP114" s="179"/>
      <c r="HQ114" s="179"/>
      <c r="HR114" s="179"/>
      <c r="HS114" s="179"/>
      <c r="HT114" s="179"/>
      <c r="HU114" s="179"/>
      <c r="HV114" s="179"/>
      <c r="HW114" s="179"/>
      <c r="HX114" s="179"/>
      <c r="HY114" s="179"/>
      <c r="HZ114" s="179"/>
      <c r="IA114" s="179"/>
      <c r="IB114" s="179"/>
      <c r="IC114" s="179"/>
      <c r="ID114" s="179"/>
      <c r="IE114" s="179"/>
      <c r="IF114" s="179"/>
      <c r="IG114" s="179"/>
      <c r="IH114" s="179"/>
      <c r="II114" s="179"/>
      <c r="IJ114" s="179"/>
      <c r="IK114" s="179"/>
      <c r="IL114" s="179"/>
      <c r="IM114" s="179"/>
      <c r="IN114" s="179"/>
      <c r="IO114" s="179"/>
      <c r="IP114" s="179"/>
      <c r="IQ114" s="179"/>
      <c r="IR114" s="179"/>
    </row>
    <row r="115" spans="1:252">
      <c r="A115" s="181" t="s">
        <v>1131</v>
      </c>
      <c r="B115" s="327">
        <f>B98-B100-B114</f>
        <v>-77549.025682615858</v>
      </c>
      <c r="C115" s="181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9"/>
      <c r="CZ115" s="179"/>
      <c r="DA115" s="179"/>
      <c r="DB115" s="179"/>
      <c r="DC115" s="179"/>
      <c r="DD115" s="179"/>
      <c r="DE115" s="179"/>
      <c r="DF115" s="179"/>
      <c r="DG115" s="179"/>
      <c r="DH115" s="179"/>
      <c r="DI115" s="179"/>
      <c r="DJ115" s="179"/>
      <c r="DK115" s="179"/>
      <c r="DL115" s="179"/>
      <c r="DM115" s="179"/>
      <c r="DN115" s="179"/>
      <c r="DO115" s="179"/>
      <c r="DP115" s="179"/>
      <c r="DQ115" s="179"/>
      <c r="DR115" s="179"/>
      <c r="DS115" s="179"/>
      <c r="DT115" s="179"/>
      <c r="DU115" s="179"/>
      <c r="DV115" s="179"/>
      <c r="DW115" s="179"/>
      <c r="DX115" s="179"/>
      <c r="DY115" s="179"/>
      <c r="DZ115" s="179"/>
      <c r="EA115" s="179"/>
      <c r="EB115" s="179"/>
      <c r="EC115" s="179"/>
      <c r="ED115" s="179"/>
      <c r="EE115" s="179"/>
      <c r="EF115" s="179"/>
      <c r="EG115" s="179"/>
      <c r="EH115" s="179"/>
      <c r="EI115" s="179"/>
      <c r="EJ115" s="179"/>
      <c r="EK115" s="179"/>
      <c r="EL115" s="179"/>
      <c r="EM115" s="179"/>
      <c r="EN115" s="179"/>
      <c r="EO115" s="179"/>
      <c r="EP115" s="179"/>
      <c r="EQ115" s="179"/>
      <c r="ER115" s="179"/>
      <c r="ES115" s="179"/>
      <c r="ET115" s="179"/>
      <c r="EU115" s="179"/>
      <c r="EV115" s="179"/>
      <c r="EW115" s="179"/>
      <c r="EX115" s="179"/>
      <c r="EY115" s="179"/>
      <c r="EZ115" s="179"/>
      <c r="FA115" s="179"/>
      <c r="FB115" s="179"/>
      <c r="FC115" s="179"/>
      <c r="FD115" s="179"/>
      <c r="FE115" s="179"/>
      <c r="FF115" s="179"/>
      <c r="FG115" s="179"/>
      <c r="FH115" s="179"/>
      <c r="FI115" s="179"/>
      <c r="FJ115" s="179"/>
      <c r="FK115" s="179"/>
      <c r="FL115" s="179"/>
      <c r="FM115" s="179"/>
      <c r="FN115" s="179"/>
      <c r="FO115" s="179"/>
      <c r="FP115" s="179"/>
      <c r="FQ115" s="179"/>
      <c r="FR115" s="179"/>
      <c r="FS115" s="179"/>
      <c r="FT115" s="179"/>
      <c r="FU115" s="179"/>
      <c r="FV115" s="179"/>
      <c r="FW115" s="179"/>
      <c r="FX115" s="179"/>
      <c r="FY115" s="179"/>
      <c r="FZ115" s="179"/>
      <c r="GA115" s="179"/>
      <c r="GB115" s="179"/>
      <c r="GC115" s="179"/>
      <c r="GD115" s="179"/>
      <c r="GE115" s="179"/>
      <c r="GF115" s="179"/>
      <c r="GG115" s="179"/>
      <c r="GH115" s="179"/>
      <c r="GI115" s="179"/>
      <c r="GJ115" s="179"/>
      <c r="GK115" s="179"/>
      <c r="GL115" s="179"/>
      <c r="GM115" s="179"/>
      <c r="GN115" s="179"/>
      <c r="GO115" s="179"/>
      <c r="GP115" s="179"/>
      <c r="GQ115" s="179"/>
      <c r="GR115" s="179"/>
      <c r="GS115" s="179"/>
      <c r="GT115" s="179"/>
      <c r="GU115" s="179"/>
      <c r="GV115" s="179"/>
      <c r="GW115" s="179"/>
      <c r="GX115" s="179"/>
      <c r="GY115" s="179"/>
      <c r="GZ115" s="179"/>
      <c r="HA115" s="179"/>
      <c r="HB115" s="179"/>
      <c r="HC115" s="179"/>
      <c r="HD115" s="179"/>
      <c r="HE115" s="179"/>
      <c r="HF115" s="179"/>
      <c r="HG115" s="179"/>
      <c r="HH115" s="179"/>
      <c r="HI115" s="179"/>
      <c r="HJ115" s="179"/>
      <c r="HK115" s="179"/>
      <c r="HL115" s="179"/>
      <c r="HM115" s="179"/>
      <c r="HN115" s="179"/>
      <c r="HO115" s="179"/>
      <c r="HP115" s="179"/>
      <c r="HQ115" s="179"/>
      <c r="HR115" s="179"/>
      <c r="HS115" s="179"/>
      <c r="HT115" s="179"/>
      <c r="HU115" s="179"/>
      <c r="HV115" s="179"/>
      <c r="HW115" s="179"/>
      <c r="HX115" s="179"/>
      <c r="HY115" s="179"/>
      <c r="HZ115" s="179"/>
      <c r="IA115" s="179"/>
      <c r="IB115" s="179"/>
      <c r="IC115" s="179"/>
      <c r="ID115" s="179"/>
      <c r="IE115" s="179"/>
      <c r="IF115" s="179"/>
      <c r="IG115" s="179"/>
      <c r="IH115" s="179"/>
      <c r="II115" s="179"/>
      <c r="IJ115" s="179"/>
      <c r="IK115" s="179"/>
      <c r="IL115" s="179"/>
      <c r="IM115" s="179"/>
      <c r="IN115" s="179"/>
      <c r="IO115" s="179"/>
      <c r="IP115" s="179"/>
      <c r="IQ115" s="179"/>
      <c r="IR115" s="179"/>
    </row>
    <row r="116" spans="1:252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79"/>
      <c r="BN116" s="179"/>
      <c r="BO116" s="179"/>
      <c r="BP116" s="179"/>
      <c r="BQ116" s="179"/>
      <c r="BR116" s="179"/>
      <c r="BS116" s="179"/>
      <c r="BT116" s="179"/>
      <c r="BU116" s="179"/>
      <c r="BV116" s="179"/>
      <c r="BW116" s="179"/>
      <c r="BX116" s="179"/>
      <c r="BY116" s="179"/>
      <c r="BZ116" s="179"/>
      <c r="CA116" s="179"/>
      <c r="CB116" s="179"/>
      <c r="CC116" s="179"/>
      <c r="CD116" s="179"/>
      <c r="CE116" s="179"/>
      <c r="CF116" s="179"/>
      <c r="CG116" s="179"/>
      <c r="CH116" s="179"/>
      <c r="CI116" s="179"/>
      <c r="CJ116" s="179"/>
      <c r="CK116" s="179"/>
      <c r="CL116" s="179"/>
      <c r="CM116" s="179"/>
      <c r="CN116" s="179"/>
      <c r="CO116" s="179"/>
      <c r="CP116" s="179"/>
      <c r="CQ116" s="179"/>
      <c r="CR116" s="179"/>
      <c r="CS116" s="179"/>
      <c r="CT116" s="179"/>
      <c r="CU116" s="179"/>
      <c r="CV116" s="179"/>
      <c r="CW116" s="179"/>
      <c r="CX116" s="179"/>
      <c r="CY116" s="179"/>
      <c r="CZ116" s="179"/>
      <c r="DA116" s="179"/>
      <c r="DB116" s="179"/>
      <c r="DC116" s="179"/>
      <c r="DD116" s="179"/>
      <c r="DE116" s="179"/>
      <c r="DF116" s="179"/>
      <c r="DG116" s="179"/>
      <c r="DH116" s="179"/>
      <c r="DI116" s="179"/>
      <c r="DJ116" s="179"/>
      <c r="DK116" s="179"/>
      <c r="DL116" s="179"/>
      <c r="DM116" s="179"/>
      <c r="DN116" s="179"/>
      <c r="DO116" s="179"/>
      <c r="DP116" s="179"/>
      <c r="DQ116" s="179"/>
      <c r="DR116" s="179"/>
      <c r="DS116" s="179"/>
      <c r="DT116" s="179"/>
      <c r="DU116" s="179"/>
      <c r="DV116" s="179"/>
      <c r="DW116" s="179"/>
      <c r="DX116" s="179"/>
      <c r="DY116" s="179"/>
      <c r="DZ116" s="179"/>
      <c r="EA116" s="179"/>
      <c r="EB116" s="179"/>
      <c r="EC116" s="179"/>
      <c r="ED116" s="179"/>
      <c r="EE116" s="179"/>
      <c r="EF116" s="179"/>
      <c r="EG116" s="179"/>
      <c r="EH116" s="179"/>
      <c r="EI116" s="179"/>
      <c r="EJ116" s="179"/>
      <c r="EK116" s="179"/>
      <c r="EL116" s="179"/>
      <c r="EM116" s="179"/>
      <c r="EN116" s="179"/>
      <c r="EO116" s="179"/>
      <c r="EP116" s="179"/>
      <c r="EQ116" s="179"/>
      <c r="ER116" s="179"/>
      <c r="ES116" s="179"/>
      <c r="ET116" s="179"/>
      <c r="EU116" s="179"/>
      <c r="EV116" s="179"/>
      <c r="EW116" s="179"/>
      <c r="EX116" s="179"/>
      <c r="EY116" s="179"/>
      <c r="EZ116" s="179"/>
      <c r="FA116" s="179"/>
      <c r="FB116" s="179"/>
      <c r="FC116" s="179"/>
      <c r="FD116" s="179"/>
      <c r="FE116" s="179"/>
      <c r="FF116" s="179"/>
      <c r="FG116" s="179"/>
      <c r="FH116" s="179"/>
      <c r="FI116" s="179"/>
      <c r="FJ116" s="179"/>
      <c r="FK116" s="179"/>
      <c r="FL116" s="179"/>
      <c r="FM116" s="179"/>
      <c r="FN116" s="179"/>
      <c r="FO116" s="179"/>
      <c r="FP116" s="179"/>
      <c r="FQ116" s="179"/>
      <c r="FR116" s="179"/>
      <c r="FS116" s="179"/>
      <c r="FT116" s="179"/>
      <c r="FU116" s="179"/>
      <c r="FV116" s="179"/>
      <c r="FW116" s="179"/>
      <c r="FX116" s="179"/>
      <c r="FY116" s="179"/>
      <c r="FZ116" s="179"/>
      <c r="GA116" s="179"/>
      <c r="GB116" s="179"/>
      <c r="GC116" s="179"/>
      <c r="GD116" s="179"/>
      <c r="GE116" s="179"/>
      <c r="GF116" s="179"/>
      <c r="GG116" s="179"/>
      <c r="GH116" s="179"/>
      <c r="GI116" s="179"/>
      <c r="GJ116" s="179"/>
      <c r="GK116" s="179"/>
      <c r="GL116" s="179"/>
      <c r="GM116" s="179"/>
      <c r="GN116" s="179"/>
      <c r="GO116" s="179"/>
      <c r="GP116" s="179"/>
      <c r="GQ116" s="179"/>
      <c r="GR116" s="179"/>
      <c r="GS116" s="179"/>
      <c r="GT116" s="179"/>
      <c r="GU116" s="179"/>
      <c r="GV116" s="179"/>
      <c r="GW116" s="179"/>
      <c r="GX116" s="179"/>
      <c r="GY116" s="179"/>
      <c r="GZ116" s="179"/>
      <c r="HA116" s="179"/>
      <c r="HB116" s="179"/>
      <c r="HC116" s="179"/>
      <c r="HD116" s="179"/>
      <c r="HE116" s="179"/>
      <c r="HF116" s="179"/>
      <c r="HG116" s="179"/>
      <c r="HH116" s="179"/>
      <c r="HI116" s="179"/>
      <c r="HJ116" s="179"/>
      <c r="HK116" s="179"/>
      <c r="HL116" s="179"/>
      <c r="HM116" s="179"/>
      <c r="HN116" s="179"/>
      <c r="HO116" s="179"/>
      <c r="HP116" s="179"/>
      <c r="HQ116" s="179"/>
      <c r="HR116" s="179"/>
      <c r="HS116" s="179"/>
      <c r="HT116" s="179"/>
      <c r="HU116" s="179"/>
      <c r="HV116" s="179"/>
      <c r="HW116" s="179"/>
      <c r="HX116" s="179"/>
      <c r="HY116" s="179"/>
      <c r="HZ116" s="179"/>
      <c r="IA116" s="179"/>
      <c r="IB116" s="179"/>
      <c r="IC116" s="179"/>
      <c r="ID116" s="179"/>
      <c r="IE116" s="179"/>
      <c r="IF116" s="179"/>
      <c r="IG116" s="179"/>
      <c r="IH116" s="179"/>
      <c r="II116" s="179"/>
      <c r="IJ116" s="179"/>
      <c r="IK116" s="179"/>
      <c r="IL116" s="179"/>
      <c r="IM116" s="179"/>
      <c r="IN116" s="179"/>
      <c r="IO116" s="179"/>
      <c r="IP116" s="179"/>
      <c r="IQ116" s="179"/>
      <c r="IR116" s="179"/>
    </row>
    <row r="117" spans="1:252">
      <c r="A117" s="185" t="s">
        <v>605</v>
      </c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79"/>
      <c r="BN117" s="179"/>
      <c r="BO117" s="179"/>
      <c r="BP117" s="179"/>
      <c r="BQ117" s="179"/>
      <c r="BR117" s="179"/>
      <c r="BS117" s="179"/>
      <c r="BT117" s="179"/>
      <c r="BU117" s="179"/>
      <c r="BV117" s="179"/>
      <c r="BW117" s="179"/>
      <c r="BX117" s="179"/>
      <c r="BY117" s="179"/>
      <c r="BZ117" s="179"/>
      <c r="CA117" s="179"/>
      <c r="CB117" s="179"/>
      <c r="CC117" s="179"/>
      <c r="CD117" s="179"/>
      <c r="CE117" s="179"/>
      <c r="CF117" s="179"/>
      <c r="CG117" s="179"/>
      <c r="CH117" s="179"/>
      <c r="CI117" s="179"/>
      <c r="CJ117" s="179"/>
      <c r="CK117" s="179"/>
      <c r="CL117" s="179"/>
      <c r="CM117" s="179"/>
      <c r="CN117" s="179"/>
      <c r="CO117" s="179"/>
      <c r="CP117" s="179"/>
      <c r="CQ117" s="179"/>
      <c r="CR117" s="179"/>
      <c r="CS117" s="179"/>
      <c r="CT117" s="179"/>
      <c r="CU117" s="179"/>
      <c r="CV117" s="179"/>
      <c r="CW117" s="179"/>
      <c r="CX117" s="179"/>
      <c r="CY117" s="179"/>
      <c r="CZ117" s="179"/>
      <c r="DA117" s="179"/>
      <c r="DB117" s="179"/>
      <c r="DC117" s="179"/>
      <c r="DD117" s="179"/>
      <c r="DE117" s="179"/>
      <c r="DF117" s="179"/>
      <c r="DG117" s="179"/>
      <c r="DH117" s="179"/>
      <c r="DI117" s="179"/>
      <c r="DJ117" s="179"/>
      <c r="DK117" s="179"/>
      <c r="DL117" s="179"/>
      <c r="DM117" s="179"/>
      <c r="DN117" s="179"/>
      <c r="DO117" s="179"/>
      <c r="DP117" s="179"/>
      <c r="DQ117" s="179"/>
      <c r="DR117" s="179"/>
      <c r="DS117" s="179"/>
      <c r="DT117" s="179"/>
      <c r="DU117" s="179"/>
      <c r="DV117" s="179"/>
      <c r="DW117" s="179"/>
      <c r="DX117" s="179"/>
      <c r="DY117" s="179"/>
      <c r="DZ117" s="179"/>
      <c r="EA117" s="179"/>
      <c r="EB117" s="179"/>
      <c r="EC117" s="179"/>
      <c r="ED117" s="179"/>
      <c r="EE117" s="179"/>
      <c r="EF117" s="179"/>
      <c r="EG117" s="179"/>
      <c r="EH117" s="179"/>
      <c r="EI117" s="179"/>
      <c r="EJ117" s="179"/>
      <c r="EK117" s="179"/>
      <c r="EL117" s="179"/>
      <c r="EM117" s="179"/>
      <c r="EN117" s="179"/>
      <c r="EO117" s="179"/>
      <c r="EP117" s="179"/>
      <c r="EQ117" s="179"/>
      <c r="ER117" s="179"/>
      <c r="ES117" s="179"/>
      <c r="ET117" s="179"/>
      <c r="EU117" s="179"/>
      <c r="EV117" s="179"/>
      <c r="EW117" s="179"/>
      <c r="EX117" s="179"/>
      <c r="EY117" s="179"/>
      <c r="EZ117" s="179"/>
      <c r="FA117" s="179"/>
      <c r="FB117" s="179"/>
      <c r="FC117" s="179"/>
      <c r="FD117" s="179"/>
      <c r="FE117" s="179"/>
      <c r="FF117" s="179"/>
      <c r="FG117" s="179"/>
      <c r="FH117" s="179"/>
      <c r="FI117" s="179"/>
      <c r="FJ117" s="179"/>
      <c r="FK117" s="179"/>
      <c r="FL117" s="179"/>
      <c r="FM117" s="179"/>
      <c r="FN117" s="179"/>
      <c r="FO117" s="179"/>
      <c r="FP117" s="179"/>
      <c r="FQ117" s="179"/>
      <c r="FR117" s="179"/>
      <c r="FS117" s="179"/>
      <c r="FT117" s="179"/>
      <c r="FU117" s="179"/>
      <c r="FV117" s="179"/>
      <c r="FW117" s="179"/>
      <c r="FX117" s="179"/>
      <c r="FY117" s="179"/>
      <c r="FZ117" s="179"/>
      <c r="GA117" s="179"/>
      <c r="GB117" s="179"/>
      <c r="GC117" s="179"/>
      <c r="GD117" s="179"/>
      <c r="GE117" s="179"/>
      <c r="GF117" s="179"/>
      <c r="GG117" s="179"/>
      <c r="GH117" s="179"/>
      <c r="GI117" s="179"/>
      <c r="GJ117" s="179"/>
      <c r="GK117" s="179"/>
      <c r="GL117" s="179"/>
      <c r="GM117" s="179"/>
      <c r="GN117" s="179"/>
      <c r="GO117" s="179"/>
      <c r="GP117" s="179"/>
      <c r="GQ117" s="179"/>
      <c r="GR117" s="179"/>
      <c r="GS117" s="179"/>
      <c r="GT117" s="179"/>
      <c r="GU117" s="179"/>
      <c r="GV117" s="179"/>
      <c r="GW117" s="179"/>
      <c r="GX117" s="179"/>
      <c r="GY117" s="179"/>
      <c r="GZ117" s="179"/>
      <c r="HA117" s="179"/>
      <c r="HB117" s="179"/>
      <c r="HC117" s="179"/>
      <c r="HD117" s="179"/>
      <c r="HE117" s="179"/>
      <c r="HF117" s="179"/>
      <c r="HG117" s="179"/>
      <c r="HH117" s="179"/>
      <c r="HI117" s="179"/>
      <c r="HJ117" s="179"/>
      <c r="HK117" s="179"/>
      <c r="HL117" s="179"/>
      <c r="HM117" s="179"/>
      <c r="HN117" s="179"/>
      <c r="HO117" s="179"/>
      <c r="HP117" s="179"/>
      <c r="HQ117" s="179"/>
      <c r="HR117" s="179"/>
      <c r="HS117" s="179"/>
      <c r="HT117" s="179"/>
      <c r="HU117" s="179"/>
      <c r="HV117" s="179"/>
      <c r="HW117" s="179"/>
      <c r="HX117" s="179"/>
      <c r="HY117" s="179"/>
      <c r="HZ117" s="179"/>
      <c r="IA117" s="179"/>
      <c r="IB117" s="179"/>
      <c r="IC117" s="179"/>
      <c r="ID117" s="179"/>
      <c r="IE117" s="179"/>
      <c r="IF117" s="179"/>
      <c r="IG117" s="179"/>
      <c r="IH117" s="179"/>
      <c r="II117" s="179"/>
      <c r="IJ117" s="179"/>
      <c r="IK117" s="179"/>
      <c r="IL117" s="179"/>
      <c r="IM117" s="179"/>
      <c r="IN117" s="179"/>
      <c r="IO117" s="179"/>
      <c r="IP117" s="179"/>
      <c r="IQ117" s="179"/>
      <c r="IR117" s="179"/>
    </row>
    <row r="119" spans="1:252">
      <c r="A119" s="321" t="s">
        <v>519</v>
      </c>
      <c r="B119">
        <f>3262300/45797.5*B91</f>
        <v>60327.351274632892</v>
      </c>
    </row>
    <row r="120" spans="1:252">
      <c r="B120" s="276">
        <f>B119+B100</f>
        <v>275220.06695724878</v>
      </c>
    </row>
    <row r="121" spans="1:252">
      <c r="B121">
        <f>B120/B100</f>
        <v>1.2807324160942379</v>
      </c>
    </row>
    <row r="122" spans="1:252">
      <c r="B122">
        <v>1.48</v>
      </c>
    </row>
  </sheetData>
  <mergeCells count="4">
    <mergeCell ref="A89:B89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21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54"/>
  <sheetViews>
    <sheetView topLeftCell="A13" workbookViewId="0">
      <selection activeCell="A18" sqref="A18"/>
    </sheetView>
  </sheetViews>
  <sheetFormatPr defaultRowHeight="15"/>
  <cols>
    <col min="1" max="1" width="92.42578125" customWidth="1"/>
    <col min="2" max="2" width="18" customWidth="1"/>
    <col min="3" max="3" width="10.140625" customWidth="1"/>
  </cols>
  <sheetData>
    <row r="1" spans="1:3" ht="15.75">
      <c r="A1" s="701" t="s">
        <v>364</v>
      </c>
      <c r="B1" s="701"/>
      <c r="C1" s="701"/>
    </row>
    <row r="2" spans="1:3" ht="15.75">
      <c r="A2" s="702" t="s">
        <v>247</v>
      </c>
      <c r="B2" s="702"/>
      <c r="C2" s="702"/>
    </row>
    <row r="3" spans="1:3" s="55" customFormat="1" ht="15.75">
      <c r="A3" s="702" t="s">
        <v>713</v>
      </c>
      <c r="B3" s="702"/>
      <c r="C3" s="702"/>
    </row>
    <row r="4" spans="1:3" s="55" customFormat="1" ht="15.75">
      <c r="A4" s="96"/>
      <c r="B4" s="86"/>
      <c r="C4" s="86"/>
    </row>
    <row r="5" spans="1:3" ht="30">
      <c r="A5" s="187" t="s">
        <v>229</v>
      </c>
      <c r="B5" s="83" t="s">
        <v>231</v>
      </c>
      <c r="C5" s="82" t="s">
        <v>589</v>
      </c>
    </row>
    <row r="6" spans="1:3" ht="15.75" thickBot="1">
      <c r="A6" s="187" t="s">
        <v>229</v>
      </c>
      <c r="B6" s="73"/>
      <c r="C6" s="73"/>
    </row>
    <row r="7" spans="1:3" ht="15.75" thickBot="1">
      <c r="A7" s="189" t="s">
        <v>29</v>
      </c>
      <c r="B7" s="98"/>
      <c r="C7" s="98"/>
    </row>
    <row r="8" spans="1:3" ht="15.75" customHeight="1" thickBot="1">
      <c r="A8" s="188" t="s">
        <v>612</v>
      </c>
      <c r="B8" s="98"/>
      <c r="C8" s="98"/>
    </row>
    <row r="9" spans="1:3" ht="15.75" thickBot="1">
      <c r="A9" s="190" t="s">
        <v>56</v>
      </c>
      <c r="B9" s="98"/>
      <c r="C9" s="98"/>
    </row>
    <row r="10" spans="1:3">
      <c r="A10" s="254" t="s">
        <v>57</v>
      </c>
      <c r="B10" s="98"/>
      <c r="C10" s="98"/>
    </row>
    <row r="11" spans="1:3" s="73" customFormat="1" ht="24.75" customHeight="1">
      <c r="A11" s="251" t="s">
        <v>719</v>
      </c>
      <c r="B11" s="94" t="s">
        <v>720</v>
      </c>
      <c r="C11" s="72">
        <v>1</v>
      </c>
    </row>
    <row r="12" spans="1:3" s="75" customFormat="1">
      <c r="A12" s="253" t="s">
        <v>66</v>
      </c>
      <c r="B12" s="76"/>
      <c r="C12" s="76"/>
    </row>
    <row r="13" spans="1:3" s="75" customFormat="1">
      <c r="A13" s="151" t="s">
        <v>725</v>
      </c>
      <c r="B13" s="72" t="s">
        <v>373</v>
      </c>
      <c r="C13" s="72">
        <v>8</v>
      </c>
    </row>
    <row r="14" spans="1:3" s="73" customFormat="1" ht="36.75" customHeight="1">
      <c r="A14" s="97" t="s">
        <v>721</v>
      </c>
      <c r="B14" s="94" t="s">
        <v>718</v>
      </c>
      <c r="C14" s="72">
        <v>12</v>
      </c>
    </row>
    <row r="15" spans="1:3" s="75" customFormat="1">
      <c r="A15" s="249" t="s">
        <v>590</v>
      </c>
      <c r="B15" s="76"/>
      <c r="C15" s="72"/>
    </row>
    <row r="16" spans="1:3" s="73" customFormat="1" ht="30.75" customHeight="1">
      <c r="A16" s="251" t="s">
        <v>722</v>
      </c>
      <c r="B16" s="94" t="s">
        <v>367</v>
      </c>
      <c r="C16" s="72">
        <v>24</v>
      </c>
    </row>
    <row r="17" spans="1:254" s="75" customFormat="1" ht="15.75" customHeight="1">
      <c r="A17" s="252" t="s">
        <v>102</v>
      </c>
      <c r="B17" s="76"/>
      <c r="C17" s="72"/>
    </row>
    <row r="18" spans="1:254" s="73" customFormat="1">
      <c r="A18" s="251" t="s">
        <v>714</v>
      </c>
      <c r="B18" s="72" t="s">
        <v>241</v>
      </c>
      <c r="C18" s="72">
        <v>1</v>
      </c>
    </row>
    <row r="19" spans="1:254" s="73" customFormat="1">
      <c r="A19" s="122" t="s">
        <v>715</v>
      </c>
      <c r="B19" s="123" t="s">
        <v>241</v>
      </c>
      <c r="C19" s="123">
        <v>1</v>
      </c>
    </row>
    <row r="20" spans="1:254" s="73" customFormat="1" ht="18" customHeight="1">
      <c r="A20" s="248" t="s">
        <v>716</v>
      </c>
      <c r="B20" s="72" t="s">
        <v>241</v>
      </c>
      <c r="C20" s="72">
        <v>1</v>
      </c>
    </row>
    <row r="21" spans="1:254" s="73" customFormat="1">
      <c r="A21" s="248" t="s">
        <v>717</v>
      </c>
      <c r="B21" s="123" t="s">
        <v>241</v>
      </c>
      <c r="C21" s="123">
        <v>1</v>
      </c>
    </row>
    <row r="22" spans="1:254" s="75" customFormat="1" ht="15.75" thickBot="1">
      <c r="A22" s="250" t="s">
        <v>606</v>
      </c>
      <c r="B22" s="76"/>
      <c r="C22" s="72">
        <f>SUM(C11:C21)</f>
        <v>49</v>
      </c>
      <c r="D22" s="75">
        <v>8</v>
      </c>
    </row>
    <row r="23" spans="1:254">
      <c r="A23" s="78"/>
      <c r="B23" s="75"/>
      <c r="C23" s="75"/>
    </row>
    <row r="24" spans="1:254" ht="6" customHeight="1"/>
    <row r="25" spans="1:254" s="179" customFormat="1" ht="43.5" customHeight="1">
      <c r="A25" s="705" t="s">
        <v>733</v>
      </c>
      <c r="B25" s="705"/>
      <c r="IT25"/>
    </row>
    <row r="26" spans="1:254">
      <c r="A26" s="180" t="s">
        <v>650</v>
      </c>
      <c r="B26" s="180">
        <v>911.2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  <c r="IO26" s="179"/>
      <c r="IP26" s="179"/>
      <c r="IQ26" s="179"/>
      <c r="IR26" s="179"/>
      <c r="IS26" s="179"/>
    </row>
    <row r="27" spans="1:254">
      <c r="A27" s="180" t="s">
        <v>594</v>
      </c>
      <c r="B27" s="180">
        <v>15.24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79"/>
      <c r="HI27" s="179"/>
      <c r="HJ27" s="179"/>
      <c r="HK27" s="179"/>
      <c r="HL27" s="179"/>
      <c r="HM27" s="179"/>
      <c r="HN27" s="179"/>
      <c r="HO27" s="179"/>
      <c r="HP27" s="179"/>
      <c r="HQ27" s="179"/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79"/>
      <c r="ID27" s="179"/>
      <c r="IE27" s="179"/>
      <c r="IF27" s="179"/>
      <c r="IG27" s="179"/>
      <c r="IH27" s="179"/>
      <c r="II27" s="179"/>
      <c r="IJ27" s="179"/>
      <c r="IK27" s="179"/>
      <c r="IL27" s="179"/>
      <c r="IM27" s="179"/>
      <c r="IN27" s="179"/>
      <c r="IO27" s="179"/>
      <c r="IP27" s="179"/>
      <c r="IQ27" s="179"/>
      <c r="IR27" s="179"/>
      <c r="IS27" s="179"/>
    </row>
    <row r="28" spans="1:254">
      <c r="A28" s="181" t="s">
        <v>711</v>
      </c>
      <c r="B28" s="193">
        <v>8130.19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79"/>
      <c r="GN28" s="179"/>
      <c r="GO28" s="179"/>
      <c r="GP28" s="179"/>
      <c r="GQ28" s="179"/>
      <c r="GR28" s="179"/>
      <c r="GS28" s="179"/>
      <c r="GT28" s="179"/>
      <c r="GU28" s="179"/>
      <c r="GV28" s="179"/>
      <c r="GW28" s="179"/>
      <c r="GX28" s="179"/>
      <c r="GY28" s="179"/>
      <c r="GZ28" s="179"/>
      <c r="HA28" s="179"/>
      <c r="HB28" s="179"/>
      <c r="HC28" s="179"/>
      <c r="HD28" s="179"/>
      <c r="HE28" s="179"/>
      <c r="HF28" s="179"/>
      <c r="HG28" s="179"/>
      <c r="HH28" s="179"/>
      <c r="HI28" s="179"/>
      <c r="HJ28" s="179"/>
      <c r="HK28" s="179"/>
      <c r="HL28" s="179"/>
      <c r="HM28" s="179"/>
      <c r="HN28" s="179"/>
      <c r="HO28" s="179"/>
      <c r="HP28" s="179"/>
      <c r="HQ28" s="179"/>
      <c r="HR28" s="179"/>
      <c r="HS28" s="179"/>
      <c r="HT28" s="179"/>
      <c r="HU28" s="179"/>
      <c r="HV28" s="179"/>
      <c r="HW28" s="179"/>
      <c r="HX28" s="179"/>
      <c r="HY28" s="179"/>
      <c r="HZ28" s="179"/>
      <c r="IA28" s="179"/>
      <c r="IB28" s="179"/>
      <c r="IC28" s="179"/>
      <c r="ID28" s="179"/>
      <c r="IE28" s="179"/>
      <c r="IF28" s="179"/>
      <c r="IG28" s="179"/>
      <c r="IH28" s="179"/>
      <c r="II28" s="179"/>
      <c r="IJ28" s="179"/>
      <c r="IK28" s="179"/>
      <c r="IL28" s="179"/>
      <c r="IM28" s="179"/>
      <c r="IN28" s="179"/>
      <c r="IO28" s="179"/>
      <c r="IP28" s="179"/>
      <c r="IQ28" s="179"/>
      <c r="IR28" s="179"/>
      <c r="IS28" s="179"/>
    </row>
    <row r="29" spans="1:254">
      <c r="A29" s="181" t="s">
        <v>723</v>
      </c>
      <c r="B29" s="193">
        <v>19791.84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  <c r="IR29" s="179"/>
      <c r="IS29" s="179"/>
    </row>
    <row r="30" spans="1:254">
      <c r="A30" s="181" t="s">
        <v>730</v>
      </c>
      <c r="B30" s="193">
        <f>B26*B27*4</f>
        <v>55546.752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 s="179"/>
      <c r="HK30" s="179"/>
      <c r="HL30" s="179"/>
      <c r="HM30" s="179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  <c r="IQ30" s="179"/>
      <c r="IR30" s="179"/>
      <c r="IS30" s="179"/>
    </row>
    <row r="31" spans="1:254">
      <c r="A31" s="181" t="s">
        <v>595</v>
      </c>
      <c r="B31" s="193">
        <f>B30-B32</f>
        <v>43321.322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</row>
    <row r="32" spans="1:254">
      <c r="A32" s="181" t="s">
        <v>728</v>
      </c>
      <c r="B32" s="193">
        <v>12225.43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</row>
    <row r="33" spans="1:253">
      <c r="A33" s="181" t="s">
        <v>596</v>
      </c>
      <c r="B33" s="193">
        <f>202.74*4</f>
        <v>810.96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  <c r="II33" s="179"/>
      <c r="IJ33" s="179"/>
      <c r="IK33" s="179"/>
      <c r="IL33" s="179"/>
      <c r="IM33" s="179"/>
      <c r="IN33" s="179"/>
      <c r="IO33" s="179"/>
      <c r="IP33" s="179"/>
      <c r="IQ33" s="179"/>
      <c r="IR33" s="179"/>
      <c r="IS33" s="179"/>
    </row>
    <row r="34" spans="1:253">
      <c r="A34" s="181" t="s">
        <v>597</v>
      </c>
      <c r="B34" s="193">
        <f>B33-B35</f>
        <v>584.61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  <c r="II34" s="179"/>
      <c r="IJ34" s="179"/>
      <c r="IK34" s="179"/>
      <c r="IL34" s="179"/>
      <c r="IM34" s="179"/>
      <c r="IN34" s="179"/>
      <c r="IO34" s="179"/>
      <c r="IP34" s="179"/>
      <c r="IQ34" s="179"/>
      <c r="IR34" s="179"/>
      <c r="IS34" s="179"/>
    </row>
    <row r="35" spans="1:253">
      <c r="A35" s="181" t="s">
        <v>729</v>
      </c>
      <c r="B35" s="193">
        <v>226.35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  <c r="IM35" s="179"/>
      <c r="IN35" s="179"/>
      <c r="IO35" s="179"/>
      <c r="IP35" s="179"/>
      <c r="IQ35" s="179"/>
      <c r="IR35" s="179"/>
      <c r="IS35" s="179"/>
    </row>
    <row r="36" spans="1:253">
      <c r="A36" s="181" t="s">
        <v>598</v>
      </c>
      <c r="B36" s="193">
        <f>B35+B32</f>
        <v>12451.78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79"/>
      <c r="GN36" s="179"/>
      <c r="GO36" s="179"/>
      <c r="GP36" s="179"/>
      <c r="GQ36" s="179"/>
      <c r="GR36" s="179"/>
      <c r="GS36" s="179"/>
      <c r="GT36" s="179"/>
      <c r="GU36" s="179"/>
      <c r="GV36" s="179"/>
      <c r="GW36" s="179"/>
      <c r="GX36" s="179"/>
      <c r="GY36" s="179"/>
      <c r="GZ36" s="179"/>
      <c r="HA36" s="179"/>
      <c r="HB36" s="179"/>
      <c r="HC36" s="179"/>
      <c r="HD36" s="179"/>
      <c r="HE36" s="179"/>
      <c r="HF36" s="179"/>
      <c r="HG36" s="179"/>
      <c r="HH36" s="179"/>
      <c r="HI36" s="179"/>
      <c r="HJ36" s="179"/>
      <c r="HK36" s="179"/>
      <c r="HL36" s="179"/>
      <c r="HM36" s="179"/>
      <c r="HN36" s="179"/>
      <c r="HO36" s="179"/>
      <c r="HP36" s="179"/>
      <c r="HQ36" s="179"/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  <c r="II36" s="179"/>
      <c r="IJ36" s="179"/>
      <c r="IK36" s="179"/>
      <c r="IL36" s="179"/>
      <c r="IM36" s="179"/>
      <c r="IN36" s="179"/>
      <c r="IO36" s="179"/>
      <c r="IP36" s="179"/>
      <c r="IQ36" s="179"/>
      <c r="IR36" s="179"/>
      <c r="IS36" s="179"/>
    </row>
    <row r="37" spans="1:253" ht="29.25" customHeight="1">
      <c r="A37" s="182" t="s">
        <v>726</v>
      </c>
      <c r="B37" s="196">
        <f>B31+B29</f>
        <v>63113.161999999997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79"/>
      <c r="GN37" s="179"/>
      <c r="GO37" s="179"/>
      <c r="GP37" s="179"/>
      <c r="GQ37" s="179"/>
      <c r="GR37" s="179"/>
      <c r="GS37" s="179"/>
      <c r="GT37" s="179"/>
      <c r="GU37" s="179"/>
      <c r="GV37" s="179"/>
      <c r="GW37" s="179"/>
      <c r="GX37" s="179"/>
      <c r="GY37" s="179"/>
      <c r="GZ37" s="179"/>
      <c r="HA37" s="179"/>
      <c r="HB37" s="179"/>
      <c r="HC37" s="179"/>
      <c r="HD37" s="179"/>
      <c r="HE37" s="179"/>
      <c r="HF37" s="179"/>
      <c r="HG37" s="179"/>
      <c r="HH37" s="179"/>
      <c r="HI37" s="179"/>
      <c r="HJ37" s="179"/>
      <c r="HK37" s="179"/>
      <c r="HL37" s="179"/>
      <c r="HM37" s="179"/>
      <c r="HN37" s="179"/>
      <c r="HO37" s="179"/>
      <c r="HP37" s="179"/>
      <c r="HQ37" s="179"/>
      <c r="HR37" s="179"/>
      <c r="HS37" s="179"/>
      <c r="HT37" s="179"/>
      <c r="HU37" s="179"/>
      <c r="HV37" s="179"/>
      <c r="HW37" s="179"/>
      <c r="HX37" s="179"/>
      <c r="HY37" s="179"/>
      <c r="HZ37" s="179"/>
      <c r="IA37" s="179"/>
      <c r="IB37" s="179"/>
      <c r="IC37" s="179"/>
      <c r="ID37" s="179"/>
      <c r="IE37" s="179"/>
      <c r="IF37" s="179"/>
      <c r="IG37" s="179"/>
      <c r="IH37" s="179"/>
      <c r="II37" s="179"/>
      <c r="IJ37" s="179"/>
      <c r="IK37" s="179"/>
      <c r="IL37" s="179"/>
      <c r="IM37" s="179"/>
      <c r="IN37" s="179"/>
      <c r="IO37" s="179"/>
      <c r="IP37" s="179"/>
      <c r="IQ37" s="179"/>
      <c r="IR37" s="179"/>
      <c r="IS37" s="179"/>
    </row>
    <row r="38" spans="1:253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  <c r="GV38" s="179"/>
      <c r="GW38" s="179"/>
      <c r="GX38" s="179"/>
      <c r="GY38" s="179"/>
      <c r="GZ38" s="179"/>
      <c r="HA38" s="179"/>
      <c r="HB38" s="179"/>
      <c r="HC38" s="179"/>
      <c r="HD38" s="179"/>
      <c r="HE38" s="179"/>
      <c r="HF38" s="179"/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79"/>
      <c r="IN38" s="179"/>
      <c r="IO38" s="179"/>
      <c r="IP38" s="179"/>
      <c r="IQ38" s="179"/>
      <c r="IR38" s="179"/>
      <c r="IS38" s="179"/>
    </row>
    <row r="39" spans="1:253" ht="45">
      <c r="A39" s="220" t="s">
        <v>652</v>
      </c>
      <c r="B39" s="221" t="s">
        <v>731</v>
      </c>
      <c r="C39" s="221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79"/>
      <c r="GN39" s="179"/>
      <c r="GO39" s="179"/>
      <c r="GP39" s="179"/>
      <c r="GQ39" s="179"/>
      <c r="GR39" s="179"/>
      <c r="GS39" s="179"/>
      <c r="GT39" s="179"/>
      <c r="GU39" s="179"/>
      <c r="GV39" s="179"/>
      <c r="GW39" s="179"/>
      <c r="GX39" s="179"/>
      <c r="GY39" s="179"/>
      <c r="GZ39" s="179"/>
      <c r="HA39" s="179"/>
      <c r="HB39" s="179"/>
      <c r="HC39" s="179"/>
      <c r="HD39" s="179"/>
      <c r="HE39" s="179"/>
      <c r="HF39" s="179"/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  <c r="ID39" s="179"/>
      <c r="IE39" s="179"/>
      <c r="IF39" s="179"/>
      <c r="IG39" s="179"/>
      <c r="IH39" s="179"/>
      <c r="II39" s="179"/>
      <c r="IJ39" s="179"/>
      <c r="IK39" s="179"/>
      <c r="IL39" s="179"/>
      <c r="IM39" s="179"/>
      <c r="IN39" s="179"/>
      <c r="IO39" s="179"/>
      <c r="IP39" s="179"/>
      <c r="IQ39" s="179"/>
      <c r="IR39" s="179"/>
      <c r="IS39" s="179"/>
    </row>
    <row r="40" spans="1:253">
      <c r="A40" s="180" t="s">
        <v>727</v>
      </c>
      <c r="B40" s="183">
        <f>B42+B43+B45+B46+B47+B49+B50+B51+B52+B44</f>
        <v>63071.218000000008</v>
      </c>
      <c r="C40" s="183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  <c r="GN40" s="179"/>
      <c r="GO40" s="179"/>
      <c r="GP40" s="179"/>
      <c r="GQ40" s="179"/>
      <c r="GR40" s="179"/>
      <c r="GS40" s="179"/>
      <c r="GT40" s="179"/>
      <c r="GU40" s="179"/>
      <c r="GV40" s="179"/>
      <c r="GW40" s="179"/>
      <c r="GX40" s="179"/>
      <c r="GY40" s="179"/>
      <c r="GZ40" s="179"/>
      <c r="HA40" s="179"/>
      <c r="HB40" s="179"/>
      <c r="HC40" s="179"/>
      <c r="HD40" s="179"/>
      <c r="HE40" s="179"/>
      <c r="HF40" s="179"/>
      <c r="HG40" s="179"/>
      <c r="HH40" s="179"/>
      <c r="HI40" s="179"/>
      <c r="HJ40" s="179"/>
      <c r="HK40" s="179"/>
      <c r="HL40" s="179"/>
      <c r="HM40" s="179"/>
      <c r="HN40" s="179"/>
      <c r="HO40" s="179"/>
      <c r="HP40" s="179"/>
      <c r="HQ40" s="179"/>
      <c r="HR40" s="179"/>
      <c r="HS40" s="179"/>
      <c r="HT40" s="179"/>
      <c r="HU40" s="179"/>
      <c r="HV40" s="179"/>
      <c r="HW40" s="179"/>
      <c r="HX40" s="179"/>
      <c r="HY40" s="179"/>
      <c r="HZ40" s="179"/>
      <c r="IA40" s="179"/>
      <c r="IB40" s="179"/>
      <c r="IC40" s="179"/>
      <c r="ID40" s="179"/>
      <c r="IE40" s="179"/>
      <c r="IF40" s="179"/>
      <c r="IG40" s="179"/>
      <c r="IH40" s="179"/>
      <c r="II40" s="179"/>
      <c r="IJ40" s="179"/>
      <c r="IK40" s="179"/>
      <c r="IL40" s="179"/>
      <c r="IM40" s="179"/>
      <c r="IN40" s="179"/>
      <c r="IO40" s="179"/>
      <c r="IP40" s="179"/>
      <c r="IQ40" s="179"/>
      <c r="IR40" s="179"/>
      <c r="IS40" s="179"/>
    </row>
    <row r="41" spans="1:253">
      <c r="A41" s="181" t="s">
        <v>599</v>
      </c>
      <c r="B41" s="181"/>
      <c r="C41" s="181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  <c r="GV41" s="179"/>
      <c r="GW41" s="179"/>
      <c r="GX41" s="179"/>
      <c r="GY41" s="179"/>
      <c r="GZ41" s="179"/>
      <c r="HA41" s="179"/>
      <c r="HB41" s="179"/>
      <c r="HC41" s="179"/>
      <c r="HD41" s="179"/>
      <c r="HE41" s="179"/>
      <c r="HF41" s="179"/>
      <c r="HG41" s="179"/>
      <c r="HH41" s="179"/>
      <c r="HI41" s="179"/>
      <c r="HJ41" s="179"/>
      <c r="HK41" s="179"/>
      <c r="HL41" s="179"/>
      <c r="HM41" s="179"/>
      <c r="HN41" s="179"/>
      <c r="HO41" s="179"/>
      <c r="HP41" s="179"/>
      <c r="HQ41" s="179"/>
      <c r="HR41" s="179"/>
      <c r="HS41" s="179"/>
      <c r="HT41" s="179"/>
      <c r="HU41" s="179"/>
      <c r="HV41" s="179"/>
      <c r="HW41" s="179"/>
      <c r="HX41" s="179"/>
      <c r="HY41" s="179"/>
      <c r="HZ41" s="179"/>
      <c r="IA41" s="179"/>
      <c r="IB41" s="179"/>
      <c r="IC41" s="179"/>
      <c r="ID41" s="179"/>
      <c r="IE41" s="179"/>
      <c r="IF41" s="179"/>
      <c r="IG41" s="179"/>
      <c r="IH41" s="179"/>
      <c r="II41" s="179"/>
      <c r="IJ41" s="179"/>
      <c r="IK41" s="179"/>
      <c r="IL41" s="179"/>
      <c r="IM41" s="179"/>
      <c r="IN41" s="179"/>
      <c r="IO41" s="179"/>
      <c r="IP41" s="179"/>
      <c r="IQ41" s="179"/>
      <c r="IR41" s="179"/>
      <c r="IS41" s="179"/>
    </row>
    <row r="42" spans="1:253">
      <c r="A42" s="181" t="s">
        <v>521</v>
      </c>
      <c r="B42" s="184">
        <f>(1.973+0.33)*B26*4</f>
        <v>8393.974400000001</v>
      </c>
      <c r="C42" s="184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  <c r="GU42" s="179"/>
      <c r="GV42" s="179"/>
      <c r="GW42" s="179"/>
      <c r="GX42" s="179"/>
      <c r="GY42" s="179"/>
      <c r="GZ42" s="179"/>
      <c r="HA42" s="179"/>
      <c r="HB42" s="179"/>
      <c r="HC42" s="179"/>
      <c r="HD42" s="179"/>
      <c r="HE42" s="179"/>
      <c r="HF42" s="179"/>
      <c r="HG42" s="179"/>
      <c r="HH42" s="179"/>
      <c r="HI42" s="179"/>
      <c r="HJ42" s="179"/>
      <c r="HK42" s="179"/>
      <c r="HL42" s="179"/>
      <c r="HM42" s="179"/>
      <c r="HN42" s="179"/>
      <c r="HO42" s="179"/>
      <c r="HP42" s="179"/>
      <c r="HQ42" s="179"/>
      <c r="HR42" s="179"/>
      <c r="HS42" s="179"/>
      <c r="HT42" s="179"/>
      <c r="HU42" s="179"/>
      <c r="HV42" s="179"/>
      <c r="HW42" s="179"/>
      <c r="HX42" s="179"/>
      <c r="HY42" s="179"/>
      <c r="HZ42" s="179"/>
      <c r="IA42" s="179"/>
      <c r="IB42" s="179"/>
      <c r="IC42" s="179"/>
      <c r="ID42" s="179"/>
      <c r="IE42" s="179"/>
      <c r="IF42" s="179"/>
      <c r="IG42" s="179"/>
      <c r="IH42" s="179"/>
      <c r="II42" s="179"/>
      <c r="IJ42" s="179"/>
      <c r="IK42" s="179"/>
      <c r="IL42" s="179"/>
      <c r="IM42" s="179"/>
      <c r="IN42" s="179"/>
      <c r="IO42" s="179"/>
      <c r="IP42" s="179"/>
      <c r="IQ42" s="179"/>
      <c r="IR42" s="179"/>
      <c r="IS42" s="179"/>
    </row>
    <row r="43" spans="1:253">
      <c r="A43" s="181" t="s">
        <v>520</v>
      </c>
      <c r="B43" s="184">
        <f>0.905*B26*4</f>
        <v>3298.5440000000003</v>
      </c>
      <c r="C43" s="184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  <c r="GV43" s="179"/>
      <c r="GW43" s="179"/>
      <c r="GX43" s="179"/>
      <c r="GY43" s="179"/>
      <c r="GZ43" s="179"/>
      <c r="HA43" s="179"/>
      <c r="HB43" s="179"/>
      <c r="HC43" s="179"/>
      <c r="HD43" s="179"/>
      <c r="HE43" s="179"/>
      <c r="HF43" s="179"/>
      <c r="HG43" s="179"/>
      <c r="HH43" s="179"/>
      <c r="HI43" s="179"/>
      <c r="HJ43" s="179"/>
      <c r="HK43" s="179"/>
      <c r="HL43" s="179"/>
      <c r="HM43" s="179"/>
      <c r="HN43" s="179"/>
      <c r="HO43" s="179"/>
      <c r="HP43" s="179"/>
      <c r="HQ43" s="179"/>
      <c r="HR43" s="179"/>
      <c r="HS43" s="179"/>
      <c r="HT43" s="179"/>
      <c r="HU43" s="179"/>
      <c r="HV43" s="179"/>
      <c r="HW43" s="179"/>
      <c r="HX43" s="179"/>
      <c r="HY43" s="179"/>
      <c r="HZ43" s="179"/>
      <c r="IA43" s="179"/>
      <c r="IB43" s="179"/>
      <c r="IC43" s="179"/>
      <c r="ID43" s="179"/>
      <c r="IE43" s="179"/>
      <c r="IF43" s="179"/>
      <c r="IG43" s="179"/>
      <c r="IH43" s="179"/>
      <c r="II43" s="179"/>
      <c r="IJ43" s="179"/>
      <c r="IK43" s="179"/>
      <c r="IL43" s="179"/>
      <c r="IM43" s="179"/>
      <c r="IN43" s="179"/>
      <c r="IO43" s="179"/>
      <c r="IP43" s="179"/>
      <c r="IQ43" s="179"/>
      <c r="IR43" s="179"/>
      <c r="IS43" s="179"/>
    </row>
    <row r="44" spans="1:253">
      <c r="A44" s="181" t="s">
        <v>732</v>
      </c>
      <c r="B44" s="184">
        <f>1500*1.3</f>
        <v>1950</v>
      </c>
      <c r="C44" s="184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79"/>
      <c r="GN44" s="179"/>
      <c r="GO44" s="179"/>
      <c r="GP44" s="179"/>
      <c r="GQ44" s="179"/>
      <c r="GR44" s="179"/>
      <c r="GS44" s="179"/>
      <c r="GT44" s="179"/>
      <c r="GU44" s="179"/>
      <c r="GV44" s="179"/>
      <c r="GW44" s="179"/>
      <c r="GX44" s="179"/>
      <c r="GY44" s="179"/>
      <c r="GZ44" s="179"/>
      <c r="HA44" s="179"/>
      <c r="HB44" s="179"/>
      <c r="HC44" s="179"/>
      <c r="HD44" s="179"/>
      <c r="HE44" s="179"/>
      <c r="HF44" s="179"/>
      <c r="HG44" s="179"/>
      <c r="HH44" s="179"/>
      <c r="HI44" s="179"/>
      <c r="HJ44" s="179"/>
      <c r="HK44" s="179"/>
      <c r="HL44" s="179"/>
      <c r="HM44" s="179"/>
      <c r="HN44" s="179"/>
      <c r="HO44" s="179"/>
      <c r="HP44" s="179"/>
      <c r="HQ44" s="179"/>
      <c r="HR44" s="179"/>
      <c r="HS44" s="179"/>
      <c r="HT44" s="179"/>
      <c r="HU44" s="179"/>
      <c r="HV44" s="179"/>
      <c r="HW44" s="179"/>
      <c r="HX44" s="179"/>
      <c r="HY44" s="179"/>
      <c r="HZ44" s="179"/>
      <c r="IA44" s="179"/>
      <c r="IB44" s="179"/>
      <c r="IC44" s="179"/>
      <c r="ID44" s="179"/>
      <c r="IE44" s="179"/>
      <c r="IF44" s="179"/>
      <c r="IG44" s="179"/>
      <c r="IH44" s="179"/>
      <c r="II44" s="179"/>
      <c r="IJ44" s="179"/>
      <c r="IK44" s="179"/>
      <c r="IL44" s="179"/>
      <c r="IM44" s="179"/>
      <c r="IN44" s="179"/>
      <c r="IO44" s="179"/>
      <c r="IP44" s="179"/>
      <c r="IQ44" s="179"/>
      <c r="IR44" s="179"/>
      <c r="IS44" s="179"/>
    </row>
    <row r="45" spans="1:253">
      <c r="A45" s="181" t="s">
        <v>519</v>
      </c>
      <c r="B45" s="194">
        <f>5.2*B26*4</f>
        <v>18952.960000000003</v>
      </c>
      <c r="C45" s="184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79"/>
      <c r="HL45" s="179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179"/>
      <c r="IA45" s="179"/>
      <c r="IB45" s="179"/>
      <c r="IC45" s="179"/>
      <c r="ID45" s="179"/>
      <c r="IE45" s="179"/>
      <c r="IF45" s="179"/>
      <c r="IG45" s="179"/>
      <c r="IH45" s="179"/>
      <c r="II45" s="179"/>
      <c r="IJ45" s="179"/>
      <c r="IK45" s="179"/>
      <c r="IL45" s="179"/>
      <c r="IM45" s="179"/>
      <c r="IN45" s="179"/>
      <c r="IO45" s="179"/>
      <c r="IP45" s="179"/>
      <c r="IQ45" s="179"/>
      <c r="IR45" s="179"/>
      <c r="IS45" s="179"/>
    </row>
    <row r="46" spans="1:253">
      <c r="A46" s="181" t="s">
        <v>600</v>
      </c>
      <c r="B46" s="194">
        <f>D22*120</f>
        <v>960</v>
      </c>
      <c r="C46" s="184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  <c r="GU46" s="179"/>
      <c r="GV46" s="179"/>
      <c r="GW46" s="179"/>
      <c r="GX46" s="179"/>
      <c r="GY46" s="179"/>
      <c r="GZ46" s="179"/>
      <c r="HA46" s="179"/>
      <c r="HB46" s="179"/>
      <c r="HC46" s="179"/>
      <c r="HD46" s="179"/>
      <c r="HE46" s="179"/>
      <c r="HF46" s="179"/>
      <c r="HG46" s="179"/>
      <c r="HH46" s="179"/>
      <c r="HI46" s="179"/>
      <c r="HJ46" s="179"/>
      <c r="HK46" s="179"/>
      <c r="HL46" s="179"/>
      <c r="HM46" s="179"/>
      <c r="HN46" s="179"/>
      <c r="HO46" s="179"/>
      <c r="HP46" s="179"/>
      <c r="HQ46" s="179"/>
      <c r="HR46" s="179"/>
      <c r="HS46" s="179"/>
      <c r="HT46" s="179"/>
      <c r="HU46" s="179"/>
      <c r="HV46" s="179"/>
      <c r="HW46" s="179"/>
      <c r="HX46" s="179"/>
      <c r="HY46" s="179"/>
      <c r="HZ46" s="179"/>
      <c r="IA46" s="179"/>
      <c r="IB46" s="179"/>
      <c r="IC46" s="179"/>
      <c r="ID46" s="179"/>
      <c r="IE46" s="179"/>
      <c r="IF46" s="179"/>
      <c r="IG46" s="179"/>
      <c r="IH46" s="179"/>
      <c r="II46" s="179"/>
      <c r="IJ46" s="179"/>
      <c r="IK46" s="179"/>
      <c r="IL46" s="179"/>
      <c r="IM46" s="179"/>
      <c r="IN46" s="179"/>
      <c r="IO46" s="179"/>
      <c r="IP46" s="179"/>
      <c r="IQ46" s="179"/>
      <c r="IR46" s="179"/>
      <c r="IS46" s="179"/>
    </row>
    <row r="47" spans="1:253">
      <c r="A47" s="181" t="s">
        <v>611</v>
      </c>
      <c r="B47" s="195">
        <f>0.557*4*B26</f>
        <v>2030.1536000000003</v>
      </c>
      <c r="C47" s="184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179"/>
      <c r="IM47" s="179"/>
      <c r="IN47" s="179"/>
      <c r="IO47" s="179"/>
      <c r="IP47" s="179"/>
      <c r="IQ47" s="179"/>
      <c r="IR47" s="179"/>
      <c r="IS47" s="179"/>
    </row>
    <row r="48" spans="1:253">
      <c r="A48" s="181" t="s">
        <v>602</v>
      </c>
      <c r="B48" s="195">
        <f>C22</f>
        <v>49</v>
      </c>
      <c r="C48" s="181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  <c r="GV48" s="179"/>
      <c r="GW48" s="179"/>
      <c r="GX48" s="179"/>
      <c r="GY48" s="179"/>
      <c r="GZ48" s="179"/>
      <c r="HA48" s="179"/>
      <c r="HB48" s="179"/>
      <c r="HC48" s="179"/>
      <c r="HD48" s="179"/>
      <c r="HE48" s="179"/>
      <c r="HF48" s="179"/>
      <c r="HG48" s="179"/>
      <c r="HH48" s="179"/>
      <c r="HI48" s="179"/>
      <c r="HJ48" s="179"/>
      <c r="HK48" s="179"/>
      <c r="HL48" s="179"/>
      <c r="HM48" s="179"/>
      <c r="HN48" s="179"/>
      <c r="HO48" s="179"/>
      <c r="HP48" s="179"/>
      <c r="HQ48" s="179"/>
      <c r="HR48" s="179"/>
      <c r="HS48" s="179"/>
      <c r="HT48" s="179"/>
      <c r="HU48" s="179"/>
      <c r="HV48" s="179"/>
      <c r="HW48" s="179"/>
      <c r="HX48" s="179"/>
      <c r="HY48" s="179"/>
      <c r="HZ48" s="179"/>
      <c r="IA48" s="179"/>
      <c r="IB48" s="179"/>
      <c r="IC48" s="179"/>
      <c r="ID48" s="179"/>
      <c r="IE48" s="179"/>
      <c r="IF48" s="179"/>
      <c r="IG48" s="179"/>
      <c r="IH48" s="179"/>
      <c r="II48" s="179"/>
      <c r="IJ48" s="179"/>
      <c r="IK48" s="179"/>
      <c r="IL48" s="179"/>
      <c r="IM48" s="179"/>
      <c r="IN48" s="179"/>
      <c r="IO48" s="179"/>
      <c r="IP48" s="179"/>
      <c r="IQ48" s="179"/>
      <c r="IR48" s="179"/>
      <c r="IS48" s="179"/>
    </row>
    <row r="49" spans="1:253">
      <c r="A49" s="181" t="s">
        <v>603</v>
      </c>
      <c r="B49" s="195">
        <f>B48*156*1.302</f>
        <v>9952.4880000000012</v>
      </c>
      <c r="C49" s="184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  <c r="IP49" s="179"/>
      <c r="IQ49" s="179"/>
      <c r="IR49" s="179"/>
      <c r="IS49" s="179"/>
    </row>
    <row r="50" spans="1:253">
      <c r="A50" s="181" t="s">
        <v>724</v>
      </c>
      <c r="B50" s="195">
        <v>1403.21</v>
      </c>
      <c r="C50" s="184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  <c r="GV50" s="179"/>
      <c r="GW50" s="179"/>
      <c r="GX50" s="179"/>
      <c r="GY50" s="179"/>
      <c r="GZ50" s="179"/>
      <c r="HA50" s="179"/>
      <c r="HB50" s="179"/>
      <c r="HC50" s="179"/>
      <c r="HD50" s="179"/>
      <c r="HE50" s="179"/>
      <c r="HF50" s="179"/>
      <c r="HG50" s="179"/>
      <c r="HH50" s="179"/>
      <c r="HI50" s="179"/>
      <c r="HJ50" s="179"/>
      <c r="HK50" s="179"/>
      <c r="HL50" s="179"/>
      <c r="HM50" s="179"/>
      <c r="HN50" s="179"/>
      <c r="HO50" s="179"/>
      <c r="HP50" s="179"/>
      <c r="HQ50" s="179"/>
      <c r="HR50" s="179"/>
      <c r="HS50" s="179"/>
      <c r="HT50" s="179"/>
      <c r="HU50" s="179"/>
      <c r="HV50" s="179"/>
      <c r="HW50" s="179"/>
      <c r="HX50" s="179"/>
      <c r="HY50" s="179"/>
      <c r="HZ50" s="179"/>
      <c r="IA50" s="179"/>
      <c r="IB50" s="179"/>
      <c r="IC50" s="179"/>
      <c r="ID50" s="179"/>
      <c r="IE50" s="179"/>
      <c r="IF50" s="179"/>
      <c r="IG50" s="179"/>
      <c r="IH50" s="179"/>
      <c r="II50" s="179"/>
      <c r="IJ50" s="179"/>
      <c r="IK50" s="179"/>
      <c r="IL50" s="179"/>
      <c r="IM50" s="179"/>
      <c r="IN50" s="179"/>
      <c r="IO50" s="179"/>
      <c r="IP50" s="179"/>
      <c r="IQ50" s="179"/>
      <c r="IR50" s="179"/>
      <c r="IS50" s="179"/>
    </row>
    <row r="51" spans="1:253">
      <c r="A51" s="181" t="s">
        <v>651</v>
      </c>
      <c r="B51" s="195">
        <f>0.31*B26*4</f>
        <v>1129.8880000000001</v>
      </c>
      <c r="C51" s="184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  <c r="GV51" s="179"/>
      <c r="GW51" s="179"/>
      <c r="GX51" s="179"/>
      <c r="GY51" s="179"/>
      <c r="GZ51" s="179"/>
      <c r="HA51" s="179"/>
      <c r="HB51" s="179"/>
      <c r="HC51" s="179"/>
      <c r="HD51" s="179"/>
      <c r="HE51" s="179"/>
      <c r="HF51" s="179"/>
      <c r="HG51" s="179"/>
      <c r="HH51" s="179"/>
      <c r="HI51" s="179"/>
      <c r="HJ51" s="179"/>
      <c r="HK51" s="179"/>
      <c r="HL51" s="179"/>
      <c r="HM51" s="179"/>
      <c r="HN51" s="179"/>
      <c r="HO51" s="179"/>
      <c r="HP51" s="179"/>
      <c r="HQ51" s="179"/>
      <c r="HR51" s="179"/>
      <c r="HS51" s="179"/>
      <c r="HT51" s="179"/>
      <c r="HU51" s="179"/>
      <c r="HV51" s="179"/>
      <c r="HW51" s="179"/>
      <c r="HX51" s="179"/>
      <c r="HY51" s="179"/>
      <c r="HZ51" s="179"/>
      <c r="IA51" s="179"/>
      <c r="IB51" s="179"/>
      <c r="IC51" s="179"/>
      <c r="ID51" s="179"/>
      <c r="IE51" s="179"/>
      <c r="IF51" s="179"/>
      <c r="IG51" s="179"/>
      <c r="IH51" s="179"/>
      <c r="II51" s="179"/>
      <c r="IJ51" s="179"/>
      <c r="IK51" s="179"/>
      <c r="IL51" s="179"/>
      <c r="IM51" s="179"/>
      <c r="IN51" s="179"/>
      <c r="IO51" s="179"/>
      <c r="IP51" s="179"/>
      <c r="IQ51" s="179"/>
      <c r="IR51" s="179"/>
      <c r="IS51" s="179"/>
    </row>
    <row r="52" spans="1:253">
      <c r="A52" s="181" t="s">
        <v>653</v>
      </c>
      <c r="B52" s="195">
        <v>15000</v>
      </c>
      <c r="C52" s="181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  <c r="GU52" s="179"/>
      <c r="GV52" s="179"/>
      <c r="GW52" s="179"/>
      <c r="GX52" s="179"/>
      <c r="GY52" s="179"/>
      <c r="GZ52" s="179"/>
      <c r="HA52" s="179"/>
      <c r="HB52" s="179"/>
      <c r="HC52" s="179"/>
      <c r="HD52" s="179"/>
      <c r="HE52" s="179"/>
      <c r="HF52" s="179"/>
      <c r="HG52" s="179"/>
      <c r="HH52" s="179"/>
      <c r="HI52" s="179"/>
      <c r="HJ52" s="179"/>
      <c r="HK52" s="179"/>
      <c r="HL52" s="179"/>
      <c r="HM52" s="179"/>
      <c r="HN52" s="179"/>
      <c r="HO52" s="179"/>
      <c r="HP52" s="179"/>
      <c r="HQ52" s="179"/>
      <c r="HR52" s="179"/>
      <c r="HS52" s="179"/>
      <c r="HT52" s="179"/>
      <c r="HU52" s="179"/>
      <c r="HV52" s="179"/>
      <c r="HW52" s="179"/>
      <c r="HX52" s="179"/>
      <c r="HY52" s="179"/>
      <c r="HZ52" s="179"/>
      <c r="IA52" s="179"/>
      <c r="IB52" s="179"/>
      <c r="IC52" s="179"/>
      <c r="ID52" s="179"/>
      <c r="IE52" s="179"/>
      <c r="IF52" s="179"/>
      <c r="IG52" s="179"/>
      <c r="IH52" s="179"/>
      <c r="II52" s="179"/>
      <c r="IJ52" s="179"/>
      <c r="IK52" s="179"/>
      <c r="IL52" s="179"/>
      <c r="IM52" s="179"/>
      <c r="IN52" s="179"/>
      <c r="IO52" s="179"/>
      <c r="IP52" s="179"/>
      <c r="IQ52" s="179"/>
      <c r="IR52" s="179"/>
      <c r="IS52" s="179"/>
    </row>
    <row r="53" spans="1:253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  <c r="HW53" s="179"/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  <c r="IO53" s="179"/>
      <c r="IP53" s="179"/>
      <c r="IQ53" s="179"/>
      <c r="IR53" s="179"/>
      <c r="IS53" s="179"/>
    </row>
    <row r="54" spans="1:253">
      <c r="A54" s="743" t="s">
        <v>605</v>
      </c>
      <c r="B54" s="743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179"/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  <c r="IO54" s="179"/>
      <c r="IP54" s="179"/>
      <c r="IQ54" s="179"/>
      <c r="IR54" s="179"/>
      <c r="IS54" s="179"/>
    </row>
  </sheetData>
  <mergeCells count="5">
    <mergeCell ref="A1:C1"/>
    <mergeCell ref="A2:C2"/>
    <mergeCell ref="A3:C3"/>
    <mergeCell ref="A25:B25"/>
    <mergeCell ref="A54:B54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76"/>
  <sheetViews>
    <sheetView topLeftCell="A44" workbookViewId="0">
      <selection activeCell="A47" sqref="A47:B74"/>
    </sheetView>
  </sheetViews>
  <sheetFormatPr defaultRowHeight="15"/>
  <cols>
    <col min="1" max="1" width="72.42578125" customWidth="1"/>
    <col min="2" max="2" width="11.42578125" customWidth="1"/>
  </cols>
  <sheetData>
    <row r="1" spans="1:2" ht="15.75">
      <c r="A1" s="701" t="s">
        <v>364</v>
      </c>
      <c r="B1" s="701"/>
    </row>
    <row r="2" spans="1:2" ht="15.75">
      <c r="A2" s="702" t="s">
        <v>1575</v>
      </c>
      <c r="B2" s="702"/>
    </row>
    <row r="3" spans="1:2" s="55" customFormat="1" ht="15.75">
      <c r="A3" s="702" t="s">
        <v>1576</v>
      </c>
      <c r="B3" s="702"/>
    </row>
    <row r="4" spans="1:2" s="55" customFormat="1" ht="15.75">
      <c r="A4" s="96"/>
      <c r="B4" s="86"/>
    </row>
    <row r="5" spans="1:2" ht="30">
      <c r="A5" s="203" t="s">
        <v>229</v>
      </c>
      <c r="B5" s="82" t="s">
        <v>589</v>
      </c>
    </row>
    <row r="6" spans="1:2" ht="15.75" thickBot="1">
      <c r="A6" s="203" t="s">
        <v>229</v>
      </c>
      <c r="B6" s="73"/>
    </row>
    <row r="7" spans="1:2" s="73" customFormat="1" ht="15.75" thickBot="1">
      <c r="A7" s="205" t="s">
        <v>56</v>
      </c>
      <c r="B7" s="72"/>
    </row>
    <row r="8" spans="1:2" s="73" customFormat="1" ht="15.75" thickBot="1">
      <c r="A8" s="204" t="s">
        <v>57</v>
      </c>
      <c r="B8" s="72"/>
    </row>
    <row r="9" spans="1:2" s="73" customFormat="1" ht="15.75" thickBot="1">
      <c r="A9" s="131" t="s">
        <v>1139</v>
      </c>
      <c r="B9" s="72">
        <v>8</v>
      </c>
    </row>
    <row r="10" spans="1:2" s="73" customFormat="1">
      <c r="A10" s="208" t="s">
        <v>1140</v>
      </c>
      <c r="B10" s="72">
        <v>72</v>
      </c>
    </row>
    <row r="11" spans="1:2" s="73" customFormat="1">
      <c r="A11" s="177" t="s">
        <v>1144</v>
      </c>
      <c r="B11" s="72">
        <v>8</v>
      </c>
    </row>
    <row r="12" spans="1:2" s="73" customFormat="1">
      <c r="A12" s="177" t="s">
        <v>1146</v>
      </c>
      <c r="B12" s="72">
        <v>1</v>
      </c>
    </row>
    <row r="13" spans="1:2" s="73" customFormat="1">
      <c r="A13" s="177" t="s">
        <v>1147</v>
      </c>
      <c r="B13" s="72">
        <v>4</v>
      </c>
    </row>
    <row r="14" spans="1:2" s="73" customFormat="1" ht="28.5">
      <c r="A14" s="177" t="s">
        <v>1153</v>
      </c>
      <c r="B14" s="72">
        <v>2</v>
      </c>
    </row>
    <row r="15" spans="1:2" s="73" customFormat="1" ht="42.75">
      <c r="A15" s="177" t="s">
        <v>1155</v>
      </c>
      <c r="B15" s="72">
        <v>4</v>
      </c>
    </row>
    <row r="16" spans="1:2" s="73" customFormat="1" ht="28.5">
      <c r="A16" s="177" t="s">
        <v>1157</v>
      </c>
      <c r="B16" s="72">
        <v>2</v>
      </c>
    </row>
    <row r="17" spans="1:2" s="73" customFormat="1" ht="42.75">
      <c r="A17" s="177" t="s">
        <v>1158</v>
      </c>
      <c r="B17" s="72">
        <v>1</v>
      </c>
    </row>
    <row r="18" spans="1:2" s="73" customFormat="1">
      <c r="A18" s="177" t="s">
        <v>1164</v>
      </c>
      <c r="B18" s="72">
        <v>4</v>
      </c>
    </row>
    <row r="19" spans="1:2" s="73" customFormat="1">
      <c r="A19" s="319" t="s">
        <v>66</v>
      </c>
      <c r="B19" s="72"/>
    </row>
    <row r="20" spans="1:2" s="73" customFormat="1" ht="15" customHeight="1">
      <c r="A20" s="84" t="s">
        <v>1161</v>
      </c>
      <c r="B20" s="72">
        <f>0.5+0.5</f>
        <v>1</v>
      </c>
    </row>
    <row r="21" spans="1:2" s="73" customFormat="1" ht="15.75" thickBot="1">
      <c r="A21" s="314" t="s">
        <v>590</v>
      </c>
      <c r="B21" s="72"/>
    </row>
    <row r="22" spans="1:2" s="73" customFormat="1" ht="29.25" customHeight="1" thickBot="1">
      <c r="A22" s="315" t="s">
        <v>1136</v>
      </c>
      <c r="B22" s="72">
        <v>2</v>
      </c>
    </row>
    <row r="23" spans="1:2" s="73" customFormat="1" ht="15.75" customHeight="1">
      <c r="A23" s="267" t="s">
        <v>1137</v>
      </c>
      <c r="B23" s="72">
        <v>15</v>
      </c>
    </row>
    <row r="24" spans="1:2" s="73" customFormat="1" ht="28.5">
      <c r="A24" s="267" t="s">
        <v>1138</v>
      </c>
      <c r="B24" s="72">
        <v>8</v>
      </c>
    </row>
    <row r="25" spans="1:2" s="73" customFormat="1" ht="28.5">
      <c r="A25" s="318" t="s">
        <v>1151</v>
      </c>
      <c r="B25" s="72">
        <v>4</v>
      </c>
    </row>
    <row r="26" spans="1:2" s="73" customFormat="1" ht="28.5">
      <c r="A26" s="226" t="s">
        <v>1156</v>
      </c>
      <c r="B26" s="72">
        <v>4</v>
      </c>
    </row>
    <row r="27" spans="1:2" s="73" customFormat="1" ht="28.5">
      <c r="A27" s="313" t="s">
        <v>1160</v>
      </c>
      <c r="B27" s="72">
        <v>8</v>
      </c>
    </row>
    <row r="28" spans="1:2" s="73" customFormat="1" ht="15" customHeight="1">
      <c r="A28" s="312" t="s">
        <v>1162</v>
      </c>
      <c r="B28" s="72">
        <v>4</v>
      </c>
    </row>
    <row r="29" spans="1:2" s="73" customFormat="1" ht="29.25" customHeight="1" thickBot="1">
      <c r="A29" s="312" t="s">
        <v>1163</v>
      </c>
      <c r="B29" s="72">
        <v>4</v>
      </c>
    </row>
    <row r="30" spans="1:2" s="73" customFormat="1" ht="15.75" customHeight="1">
      <c r="A30" s="316" t="s">
        <v>102</v>
      </c>
      <c r="B30" s="72"/>
    </row>
    <row r="31" spans="1:2" s="73" customFormat="1" ht="17.25" customHeight="1">
      <c r="A31" s="318" t="s">
        <v>1141</v>
      </c>
      <c r="B31" s="72">
        <v>2</v>
      </c>
    </row>
    <row r="32" spans="1:2" s="73" customFormat="1" ht="28.5">
      <c r="A32" s="318" t="s">
        <v>1142</v>
      </c>
      <c r="B32" s="72">
        <v>1</v>
      </c>
    </row>
    <row r="33" spans="1:252" s="73" customFormat="1" ht="28.5">
      <c r="A33" s="318" t="s">
        <v>1143</v>
      </c>
      <c r="B33" s="72">
        <v>1</v>
      </c>
    </row>
    <row r="34" spans="1:252" s="73" customFormat="1">
      <c r="A34" s="318" t="s">
        <v>1145</v>
      </c>
      <c r="B34" s="72">
        <v>1</v>
      </c>
    </row>
    <row r="35" spans="1:252" s="73" customFormat="1">
      <c r="A35" s="318" t="s">
        <v>1149</v>
      </c>
      <c r="B35" s="72">
        <v>0.5</v>
      </c>
    </row>
    <row r="36" spans="1:252" s="73" customFormat="1">
      <c r="A36" s="318" t="s">
        <v>1148</v>
      </c>
      <c r="B36" s="72">
        <v>1.5</v>
      </c>
    </row>
    <row r="37" spans="1:252" s="73" customFormat="1" ht="28.5">
      <c r="A37" s="312" t="s">
        <v>1150</v>
      </c>
      <c r="B37" s="72">
        <v>1</v>
      </c>
    </row>
    <row r="38" spans="1:252" s="73" customFormat="1">
      <c r="A38" s="312" t="s">
        <v>1152</v>
      </c>
      <c r="B38" s="72">
        <v>1</v>
      </c>
    </row>
    <row r="39" spans="1:252" s="73" customFormat="1" ht="28.5">
      <c r="A39" s="312" t="s">
        <v>1154</v>
      </c>
      <c r="B39" s="72">
        <v>1</v>
      </c>
    </row>
    <row r="40" spans="1:252" s="73" customFormat="1" ht="28.5">
      <c r="A40" s="312" t="s">
        <v>1159</v>
      </c>
      <c r="B40" s="72">
        <v>1.5</v>
      </c>
    </row>
    <row r="41" spans="1:252" s="73" customFormat="1" ht="28.5">
      <c r="A41" s="312" t="s">
        <v>1165</v>
      </c>
      <c r="B41" s="72">
        <v>1</v>
      </c>
    </row>
    <row r="42" spans="1:252" s="73" customFormat="1" ht="28.5">
      <c r="A42" s="312" t="s">
        <v>1166</v>
      </c>
      <c r="B42" s="72">
        <v>0.5</v>
      </c>
    </row>
    <row r="43" spans="1:252" s="73" customFormat="1" ht="15.75" thickBot="1">
      <c r="A43" s="312" t="s">
        <v>1167</v>
      </c>
      <c r="B43" s="72">
        <v>1</v>
      </c>
    </row>
    <row r="44" spans="1:252" ht="15.75" thickBot="1">
      <c r="A44" s="320" t="s">
        <v>623</v>
      </c>
      <c r="B44" s="72">
        <f>SUM(B7:B43)</f>
        <v>170</v>
      </c>
    </row>
    <row r="45" spans="1:252" ht="12" customHeight="1">
      <c r="A45" s="78"/>
      <c r="B45" s="75"/>
    </row>
    <row r="47" spans="1:252" s="179" customFormat="1" ht="40.5" customHeight="1">
      <c r="A47" s="434" t="s">
        <v>1574</v>
      </c>
      <c r="IR47"/>
    </row>
    <row r="48" spans="1:252" s="179" customFormat="1" ht="40.5" customHeight="1">
      <c r="A48" s="322" t="s">
        <v>654</v>
      </c>
      <c r="B48" s="430" t="s">
        <v>1132</v>
      </c>
      <c r="IR48"/>
    </row>
    <row r="49" spans="1:251">
      <c r="A49" s="457" t="s">
        <v>593</v>
      </c>
      <c r="B49" s="196">
        <v>899.7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  <c r="IP49" s="179"/>
      <c r="IQ49" s="179"/>
    </row>
    <row r="50" spans="1:251">
      <c r="A50" s="217" t="s">
        <v>594</v>
      </c>
      <c r="B50" s="196">
        <v>17.829999999999998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  <c r="GV50" s="179"/>
      <c r="GW50" s="179"/>
      <c r="GX50" s="179"/>
      <c r="GY50" s="179"/>
      <c r="GZ50" s="179"/>
      <c r="HA50" s="179"/>
      <c r="HB50" s="179"/>
      <c r="HC50" s="179"/>
      <c r="HD50" s="179"/>
      <c r="HE50" s="179"/>
      <c r="HF50" s="179"/>
      <c r="HG50" s="179"/>
      <c r="HH50" s="179"/>
      <c r="HI50" s="179"/>
      <c r="HJ50" s="179"/>
      <c r="HK50" s="179"/>
      <c r="HL50" s="179"/>
      <c r="HM50" s="179"/>
      <c r="HN50" s="179"/>
      <c r="HO50" s="179"/>
      <c r="HP50" s="179"/>
      <c r="HQ50" s="179"/>
      <c r="HR50" s="179"/>
      <c r="HS50" s="179"/>
      <c r="HT50" s="179"/>
      <c r="HU50" s="179"/>
      <c r="HV50" s="179"/>
      <c r="HW50" s="179"/>
      <c r="HX50" s="179"/>
      <c r="HY50" s="179"/>
      <c r="HZ50" s="179"/>
      <c r="IA50" s="179"/>
      <c r="IB50" s="179"/>
      <c r="IC50" s="179"/>
      <c r="ID50" s="179"/>
      <c r="IE50" s="179"/>
      <c r="IF50" s="179"/>
      <c r="IG50" s="179"/>
      <c r="IH50" s="179"/>
      <c r="II50" s="179"/>
      <c r="IJ50" s="179"/>
      <c r="IK50" s="179"/>
      <c r="IL50" s="179"/>
      <c r="IM50" s="179"/>
      <c r="IN50" s="179"/>
      <c r="IO50" s="179"/>
      <c r="IP50" s="179"/>
      <c r="IQ50" s="179"/>
    </row>
    <row r="51" spans="1:251">
      <c r="A51" s="218" t="s">
        <v>711</v>
      </c>
      <c r="B51" s="193">
        <v>33791.19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  <c r="GV51" s="179"/>
      <c r="GW51" s="179"/>
      <c r="GX51" s="179"/>
      <c r="GY51" s="179"/>
      <c r="GZ51" s="179"/>
      <c r="HA51" s="179"/>
      <c r="HB51" s="179"/>
      <c r="HC51" s="179"/>
      <c r="HD51" s="179"/>
      <c r="HE51" s="179"/>
      <c r="HF51" s="179"/>
      <c r="HG51" s="179"/>
      <c r="HH51" s="179"/>
      <c r="HI51" s="179"/>
      <c r="HJ51" s="179"/>
      <c r="HK51" s="179"/>
      <c r="HL51" s="179"/>
      <c r="HM51" s="179"/>
      <c r="HN51" s="179"/>
      <c r="HO51" s="179"/>
      <c r="HP51" s="179"/>
      <c r="HQ51" s="179"/>
      <c r="HR51" s="179"/>
      <c r="HS51" s="179"/>
      <c r="HT51" s="179"/>
      <c r="HU51" s="179"/>
      <c r="HV51" s="179"/>
      <c r="HW51" s="179"/>
      <c r="HX51" s="179"/>
      <c r="HY51" s="179"/>
      <c r="HZ51" s="179"/>
      <c r="IA51" s="179"/>
      <c r="IB51" s="179"/>
      <c r="IC51" s="179"/>
      <c r="ID51" s="179"/>
      <c r="IE51" s="179"/>
      <c r="IF51" s="179"/>
      <c r="IG51" s="179"/>
      <c r="IH51" s="179"/>
      <c r="II51" s="179"/>
      <c r="IJ51" s="179"/>
      <c r="IK51" s="179"/>
      <c r="IL51" s="179"/>
      <c r="IM51" s="179"/>
      <c r="IN51" s="179"/>
      <c r="IO51" s="179"/>
      <c r="IP51" s="179"/>
      <c r="IQ51" s="179"/>
    </row>
    <row r="52" spans="1:251">
      <c r="A52" s="218" t="s">
        <v>1123</v>
      </c>
      <c r="B52" s="193">
        <v>192500.16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  <c r="GU52" s="179"/>
      <c r="GV52" s="179"/>
      <c r="GW52" s="179"/>
      <c r="GX52" s="179"/>
      <c r="GY52" s="179"/>
      <c r="GZ52" s="179"/>
      <c r="HA52" s="179"/>
      <c r="HB52" s="179"/>
      <c r="HC52" s="179"/>
      <c r="HD52" s="179"/>
      <c r="HE52" s="179"/>
      <c r="HF52" s="179"/>
      <c r="HG52" s="179"/>
      <c r="HH52" s="179"/>
      <c r="HI52" s="179"/>
      <c r="HJ52" s="179"/>
      <c r="HK52" s="179"/>
      <c r="HL52" s="179"/>
      <c r="HM52" s="179"/>
      <c r="HN52" s="179"/>
      <c r="HO52" s="179"/>
      <c r="HP52" s="179"/>
      <c r="HQ52" s="179"/>
      <c r="HR52" s="179"/>
      <c r="HS52" s="179"/>
      <c r="HT52" s="179"/>
      <c r="HU52" s="179"/>
      <c r="HV52" s="179"/>
      <c r="HW52" s="179"/>
      <c r="HX52" s="179"/>
      <c r="HY52" s="179"/>
      <c r="HZ52" s="179"/>
      <c r="IA52" s="179"/>
      <c r="IB52" s="179"/>
      <c r="IC52" s="179"/>
      <c r="ID52" s="179"/>
      <c r="IE52" s="179"/>
      <c r="IF52" s="179"/>
      <c r="IG52" s="179"/>
      <c r="IH52" s="179"/>
      <c r="II52" s="179"/>
      <c r="IJ52" s="179"/>
      <c r="IK52" s="179"/>
      <c r="IL52" s="179"/>
      <c r="IM52" s="179"/>
      <c r="IN52" s="179"/>
      <c r="IO52" s="179"/>
      <c r="IP52" s="179"/>
      <c r="IQ52" s="179"/>
    </row>
    <row r="53" spans="1:251">
      <c r="A53" s="218" t="s">
        <v>596</v>
      </c>
      <c r="B53" s="193">
        <v>2506.98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  <c r="HW53" s="179"/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  <c r="IO53" s="179"/>
      <c r="IP53" s="179"/>
      <c r="IQ53" s="179"/>
    </row>
    <row r="54" spans="1:251">
      <c r="A54" s="218" t="s">
        <v>1126</v>
      </c>
      <c r="B54" s="193">
        <v>4876.37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179"/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  <c r="IO54" s="179"/>
      <c r="IP54" s="179"/>
      <c r="IQ54" s="179"/>
    </row>
    <row r="55" spans="1:251">
      <c r="A55" s="218" t="s">
        <v>798</v>
      </c>
      <c r="B55" s="193">
        <f>B51+B52+B53+B54-B56</f>
        <v>182900.65000000002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179"/>
      <c r="HX55" s="179"/>
      <c r="HY55" s="179"/>
      <c r="HZ55" s="179"/>
      <c r="IA55" s="179"/>
      <c r="IB55" s="179"/>
      <c r="IC55" s="179"/>
      <c r="ID55" s="179"/>
      <c r="IE55" s="179"/>
      <c r="IF55" s="179"/>
      <c r="IG55" s="179"/>
      <c r="IH55" s="179"/>
      <c r="II55" s="179"/>
      <c r="IJ55" s="179"/>
      <c r="IK55" s="179"/>
      <c r="IL55" s="179"/>
      <c r="IM55" s="179"/>
      <c r="IN55" s="179"/>
      <c r="IO55" s="179"/>
      <c r="IP55" s="179"/>
      <c r="IQ55" s="179"/>
    </row>
    <row r="56" spans="1:251">
      <c r="A56" s="218" t="s">
        <v>1124</v>
      </c>
      <c r="B56" s="193">
        <v>50774.05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9"/>
      <c r="GL56" s="179"/>
      <c r="GM56" s="179"/>
      <c r="GN56" s="179"/>
      <c r="GO56" s="179"/>
      <c r="GP56" s="179"/>
      <c r="GQ56" s="179"/>
      <c r="GR56" s="179"/>
      <c r="GS56" s="179"/>
      <c r="GT56" s="179"/>
      <c r="GU56" s="179"/>
      <c r="GV56" s="179"/>
      <c r="GW56" s="179"/>
      <c r="GX56" s="179"/>
      <c r="GY56" s="179"/>
      <c r="GZ56" s="179"/>
      <c r="HA56" s="179"/>
      <c r="HB56" s="179"/>
      <c r="HC56" s="179"/>
      <c r="HD56" s="179"/>
      <c r="HE56" s="179"/>
      <c r="HF56" s="179"/>
      <c r="HG56" s="179"/>
      <c r="HH56" s="179"/>
      <c r="HI56" s="179"/>
      <c r="HJ56" s="179"/>
      <c r="HK56" s="179"/>
      <c r="HL56" s="179"/>
      <c r="HM56" s="179"/>
      <c r="HN56" s="179"/>
      <c r="HO56" s="179"/>
      <c r="HP56" s="179"/>
      <c r="HQ56" s="179"/>
      <c r="HR56" s="179"/>
      <c r="HS56" s="179"/>
      <c r="HT56" s="179"/>
      <c r="HU56" s="179"/>
      <c r="HV56" s="179"/>
      <c r="HW56" s="179"/>
      <c r="HX56" s="179"/>
      <c r="HY56" s="179"/>
      <c r="HZ56" s="179"/>
      <c r="IA56" s="179"/>
      <c r="IB56" s="179"/>
      <c r="IC56" s="179"/>
      <c r="ID56" s="179"/>
      <c r="IE56" s="179"/>
      <c r="IF56" s="179"/>
      <c r="IG56" s="179"/>
      <c r="IH56" s="179"/>
      <c r="II56" s="179"/>
      <c r="IJ56" s="179"/>
      <c r="IK56" s="179"/>
      <c r="IL56" s="179"/>
      <c r="IM56" s="179"/>
      <c r="IN56" s="179"/>
      <c r="IO56" s="179"/>
      <c r="IP56" s="179"/>
      <c r="IQ56" s="179"/>
    </row>
    <row r="57" spans="1:251" ht="29.25" customHeight="1">
      <c r="A57" s="216" t="s">
        <v>1168</v>
      </c>
      <c r="B57" s="196">
        <f>B55</f>
        <v>182900.65000000002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  <c r="FL57" s="179"/>
      <c r="FM57" s="179"/>
      <c r="FN57" s="179"/>
      <c r="FO57" s="179"/>
      <c r="FP57" s="179"/>
      <c r="FQ57" s="179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9"/>
      <c r="GL57" s="179"/>
      <c r="GM57" s="179"/>
      <c r="GN57" s="179"/>
      <c r="GO57" s="179"/>
      <c r="GP57" s="179"/>
      <c r="GQ57" s="179"/>
      <c r="GR57" s="179"/>
      <c r="GS57" s="179"/>
      <c r="GT57" s="179"/>
      <c r="GU57" s="179"/>
      <c r="GV57" s="179"/>
      <c r="GW57" s="179"/>
      <c r="GX57" s="179"/>
      <c r="GY57" s="179"/>
      <c r="GZ57" s="179"/>
      <c r="HA57" s="179"/>
      <c r="HB57" s="179"/>
      <c r="HC57" s="179"/>
      <c r="HD57" s="179"/>
      <c r="HE57" s="179"/>
      <c r="HF57" s="179"/>
      <c r="HG57" s="179"/>
      <c r="HH57" s="179"/>
      <c r="HI57" s="179"/>
      <c r="HJ57" s="179"/>
      <c r="HK57" s="179"/>
      <c r="HL57" s="179"/>
      <c r="HM57" s="179"/>
      <c r="HN57" s="179"/>
      <c r="HO57" s="179"/>
      <c r="HP57" s="179"/>
      <c r="HQ57" s="179"/>
      <c r="HR57" s="179"/>
      <c r="HS57" s="179"/>
      <c r="HT57" s="179"/>
      <c r="HU57" s="179"/>
      <c r="HV57" s="179"/>
      <c r="HW57" s="179"/>
      <c r="HX57" s="179"/>
      <c r="HY57" s="179"/>
      <c r="HZ57" s="179"/>
      <c r="IA57" s="179"/>
      <c r="IB57" s="179"/>
      <c r="IC57" s="179"/>
      <c r="ID57" s="179"/>
      <c r="IE57" s="179"/>
      <c r="IF57" s="179"/>
      <c r="IG57" s="179"/>
      <c r="IH57" s="179"/>
      <c r="II57" s="179"/>
      <c r="IJ57" s="179"/>
      <c r="IK57" s="179"/>
      <c r="IL57" s="179"/>
      <c r="IM57" s="179"/>
      <c r="IN57" s="179"/>
      <c r="IO57" s="179"/>
      <c r="IP57" s="179"/>
      <c r="IQ57" s="179"/>
    </row>
    <row r="58" spans="1:251">
      <c r="A58" s="179"/>
      <c r="B58" s="193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  <c r="FL58" s="179"/>
      <c r="FM58" s="179"/>
      <c r="FN58" s="179"/>
      <c r="FO58" s="179"/>
      <c r="FP58" s="179"/>
      <c r="FQ58" s="179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9"/>
      <c r="GL58" s="179"/>
      <c r="GM58" s="179"/>
      <c r="GN58" s="179"/>
      <c r="GO58" s="179"/>
      <c r="GP58" s="179"/>
      <c r="GQ58" s="179"/>
      <c r="GR58" s="179"/>
      <c r="GS58" s="179"/>
      <c r="GT58" s="179"/>
      <c r="GU58" s="179"/>
      <c r="GV58" s="179"/>
      <c r="GW58" s="179"/>
      <c r="GX58" s="179"/>
      <c r="GY58" s="179"/>
      <c r="GZ58" s="179"/>
      <c r="HA58" s="179"/>
      <c r="HB58" s="179"/>
      <c r="HC58" s="179"/>
      <c r="HD58" s="179"/>
      <c r="HE58" s="179"/>
      <c r="HF58" s="179"/>
      <c r="HG58" s="179"/>
      <c r="HH58" s="179"/>
      <c r="HI58" s="179"/>
      <c r="HJ58" s="179"/>
      <c r="HK58" s="179"/>
      <c r="HL58" s="179"/>
      <c r="HM58" s="179"/>
      <c r="HN58" s="179"/>
      <c r="HO58" s="179"/>
      <c r="HP58" s="179"/>
      <c r="HQ58" s="179"/>
      <c r="HR58" s="179"/>
      <c r="HS58" s="179"/>
      <c r="HT58" s="179"/>
      <c r="HU58" s="179"/>
      <c r="HV58" s="179"/>
      <c r="HW58" s="179"/>
      <c r="HX58" s="179"/>
      <c r="HY58" s="179"/>
      <c r="HZ58" s="179"/>
      <c r="IA58" s="179"/>
      <c r="IB58" s="179"/>
      <c r="IC58" s="179"/>
      <c r="ID58" s="179"/>
      <c r="IE58" s="179"/>
      <c r="IF58" s="179"/>
      <c r="IG58" s="179"/>
      <c r="IH58" s="179"/>
      <c r="II58" s="179"/>
      <c r="IJ58" s="179"/>
      <c r="IK58" s="179"/>
      <c r="IL58" s="179"/>
      <c r="IM58" s="179"/>
      <c r="IN58" s="179"/>
      <c r="IO58" s="179"/>
      <c r="IP58" s="179"/>
      <c r="IQ58" s="179"/>
    </row>
    <row r="59" spans="1:251">
      <c r="A59" s="217" t="s">
        <v>1130</v>
      </c>
      <c r="B59" s="198">
        <f>B61+B62+B63+B64+B65+B67+B70+B68+B69</f>
        <v>133808.68681800316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79"/>
      <c r="FK59" s="179"/>
      <c r="FL59" s="179"/>
      <c r="FM59" s="179"/>
      <c r="FN59" s="179"/>
      <c r="FO59" s="179"/>
      <c r="FP59" s="179"/>
      <c r="FQ59" s="179"/>
      <c r="FR59" s="179"/>
      <c r="FS59" s="179"/>
      <c r="FT59" s="179"/>
      <c r="FU59" s="179"/>
      <c r="FV59" s="179"/>
      <c r="FW59" s="179"/>
      <c r="FX59" s="179"/>
      <c r="FY59" s="179"/>
      <c r="FZ59" s="179"/>
      <c r="GA59" s="179"/>
      <c r="GB59" s="179"/>
      <c r="GC59" s="179"/>
      <c r="GD59" s="179"/>
      <c r="GE59" s="179"/>
      <c r="GF59" s="179"/>
      <c r="GG59" s="179"/>
      <c r="GH59" s="179"/>
      <c r="GI59" s="179"/>
      <c r="GJ59" s="179"/>
      <c r="GK59" s="179"/>
      <c r="GL59" s="179"/>
      <c r="GM59" s="179"/>
      <c r="GN59" s="179"/>
      <c r="GO59" s="179"/>
      <c r="GP59" s="179"/>
      <c r="GQ59" s="179"/>
      <c r="GR59" s="179"/>
      <c r="GS59" s="179"/>
      <c r="GT59" s="179"/>
      <c r="GU59" s="179"/>
      <c r="GV59" s="179"/>
      <c r="GW59" s="179"/>
      <c r="GX59" s="179"/>
      <c r="GY59" s="179"/>
      <c r="GZ59" s="179"/>
      <c r="HA59" s="179"/>
      <c r="HB59" s="179"/>
      <c r="HC59" s="179"/>
      <c r="HD59" s="179"/>
      <c r="HE59" s="179"/>
      <c r="HF59" s="179"/>
      <c r="HG59" s="179"/>
      <c r="HH59" s="179"/>
      <c r="HI59" s="179"/>
      <c r="HJ59" s="179"/>
      <c r="HK59" s="179"/>
      <c r="HL59" s="179"/>
      <c r="HM59" s="179"/>
      <c r="HN59" s="179"/>
      <c r="HO59" s="179"/>
      <c r="HP59" s="179"/>
      <c r="HQ59" s="179"/>
      <c r="HR59" s="179"/>
      <c r="HS59" s="179"/>
      <c r="HT59" s="179"/>
      <c r="HU59" s="179"/>
      <c r="HV59" s="179"/>
      <c r="HW59" s="179"/>
      <c r="HX59" s="179"/>
      <c r="HY59" s="179"/>
      <c r="HZ59" s="179"/>
      <c r="IA59" s="179"/>
      <c r="IB59" s="179"/>
      <c r="IC59" s="179"/>
      <c r="ID59" s="179"/>
      <c r="IE59" s="179"/>
      <c r="IF59" s="179"/>
      <c r="IG59" s="179"/>
      <c r="IH59" s="179"/>
      <c r="II59" s="179"/>
      <c r="IJ59" s="179"/>
      <c r="IK59" s="179"/>
      <c r="IL59" s="179"/>
      <c r="IM59" s="179"/>
      <c r="IN59" s="179"/>
      <c r="IO59" s="179"/>
      <c r="IP59" s="179"/>
      <c r="IQ59" s="179"/>
    </row>
    <row r="60" spans="1:251">
      <c r="A60" s="218" t="s">
        <v>599</v>
      </c>
      <c r="B60" s="193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  <c r="FL60" s="179"/>
      <c r="FM60" s="179"/>
      <c r="FN60" s="179"/>
      <c r="FO60" s="179"/>
      <c r="FP60" s="179"/>
      <c r="FQ60" s="179"/>
      <c r="FR60" s="179"/>
      <c r="FS60" s="179"/>
      <c r="FT60" s="179"/>
      <c r="FU60" s="179"/>
      <c r="FV60" s="179"/>
      <c r="FW60" s="179"/>
      <c r="FX60" s="179"/>
      <c r="FY60" s="179"/>
      <c r="FZ60" s="179"/>
      <c r="GA60" s="179"/>
      <c r="GB60" s="179"/>
      <c r="GC60" s="179"/>
      <c r="GD60" s="179"/>
      <c r="GE60" s="179"/>
      <c r="GF60" s="179"/>
      <c r="GG60" s="179"/>
      <c r="GH60" s="179"/>
      <c r="GI60" s="179"/>
      <c r="GJ60" s="179"/>
      <c r="GK60" s="179"/>
      <c r="GL60" s="179"/>
      <c r="GM60" s="179"/>
      <c r="GN60" s="179"/>
      <c r="GO60" s="179"/>
      <c r="GP60" s="179"/>
      <c r="GQ60" s="179"/>
      <c r="GR60" s="179"/>
      <c r="GS60" s="179"/>
      <c r="GT60" s="179"/>
      <c r="GU60" s="179"/>
      <c r="GV60" s="179"/>
      <c r="GW60" s="179"/>
      <c r="GX60" s="179"/>
      <c r="GY60" s="179"/>
      <c r="GZ60" s="179"/>
      <c r="HA60" s="179"/>
      <c r="HB60" s="179"/>
      <c r="HC60" s="179"/>
      <c r="HD60" s="179"/>
      <c r="HE60" s="179"/>
      <c r="HF60" s="179"/>
      <c r="HG60" s="179"/>
      <c r="HH60" s="179"/>
      <c r="HI60" s="179"/>
      <c r="HJ60" s="179"/>
      <c r="HK60" s="179"/>
      <c r="HL60" s="179"/>
      <c r="HM60" s="179"/>
      <c r="HN60" s="179"/>
      <c r="HO60" s="179"/>
      <c r="HP60" s="179"/>
      <c r="HQ60" s="179"/>
      <c r="HR60" s="179"/>
      <c r="HS60" s="179"/>
      <c r="HT60" s="179"/>
      <c r="HU60" s="179"/>
      <c r="HV60" s="179"/>
      <c r="HW60" s="179"/>
      <c r="HX60" s="179"/>
      <c r="HY60" s="179"/>
      <c r="HZ60" s="179"/>
      <c r="IA60" s="179"/>
      <c r="IB60" s="179"/>
      <c r="IC60" s="179"/>
      <c r="ID60" s="179"/>
      <c r="IE60" s="179"/>
      <c r="IF60" s="179"/>
      <c r="IG60" s="179"/>
      <c r="IH60" s="179"/>
      <c r="II60" s="179"/>
      <c r="IJ60" s="179"/>
      <c r="IK60" s="179"/>
      <c r="IL60" s="179"/>
      <c r="IM60" s="179"/>
      <c r="IN60" s="179"/>
      <c r="IO60" s="179"/>
      <c r="IP60" s="179"/>
      <c r="IQ60" s="179"/>
    </row>
    <row r="61" spans="1:251">
      <c r="A61" s="218" t="s">
        <v>521</v>
      </c>
      <c r="B61" s="194">
        <f>959300/45797.5*899.7*2</f>
        <v>37691.23685790709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  <c r="FL61" s="179"/>
      <c r="FM61" s="179"/>
      <c r="FN61" s="179"/>
      <c r="FO61" s="179"/>
      <c r="FP61" s="179"/>
      <c r="FQ61" s="179"/>
      <c r="FR61" s="179"/>
      <c r="FS61" s="179"/>
      <c r="FT61" s="179"/>
      <c r="FU61" s="179"/>
      <c r="FV61" s="179"/>
      <c r="FW61" s="179"/>
      <c r="FX61" s="179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  <c r="GI61" s="179"/>
      <c r="GJ61" s="179"/>
      <c r="GK61" s="179"/>
      <c r="GL61" s="179"/>
      <c r="GM61" s="179"/>
      <c r="GN61" s="179"/>
      <c r="GO61" s="179"/>
      <c r="GP61" s="179"/>
      <c r="GQ61" s="179"/>
      <c r="GR61" s="179"/>
      <c r="GS61" s="179"/>
      <c r="GT61" s="179"/>
      <c r="GU61" s="179"/>
      <c r="GV61" s="179"/>
      <c r="GW61" s="179"/>
      <c r="GX61" s="179"/>
      <c r="GY61" s="179"/>
      <c r="GZ61" s="179"/>
      <c r="HA61" s="179"/>
      <c r="HB61" s="179"/>
      <c r="HC61" s="179"/>
      <c r="HD61" s="179"/>
      <c r="HE61" s="179"/>
      <c r="HF61" s="179"/>
      <c r="HG61" s="179"/>
      <c r="HH61" s="179"/>
      <c r="HI61" s="179"/>
      <c r="HJ61" s="179"/>
      <c r="HK61" s="179"/>
      <c r="HL61" s="179"/>
      <c r="HM61" s="179"/>
      <c r="HN61" s="179"/>
      <c r="HO61" s="179"/>
      <c r="HP61" s="179"/>
      <c r="HQ61" s="179"/>
      <c r="HR61" s="179"/>
      <c r="HS61" s="179"/>
      <c r="HT61" s="179"/>
      <c r="HU61" s="179"/>
      <c r="HV61" s="179"/>
      <c r="HW61" s="179"/>
      <c r="HX61" s="179"/>
      <c r="HY61" s="179"/>
      <c r="HZ61" s="179"/>
      <c r="IA61" s="179"/>
      <c r="IB61" s="179"/>
      <c r="IC61" s="179"/>
      <c r="ID61" s="179"/>
      <c r="IE61" s="179"/>
      <c r="IF61" s="179"/>
      <c r="IG61" s="179"/>
      <c r="IH61" s="179"/>
      <c r="II61" s="179"/>
      <c r="IJ61" s="179"/>
      <c r="IK61" s="179"/>
      <c r="IL61" s="179"/>
      <c r="IM61" s="179"/>
      <c r="IN61" s="179"/>
      <c r="IO61" s="179"/>
      <c r="IP61" s="179"/>
      <c r="IQ61" s="179"/>
    </row>
    <row r="62" spans="1:251">
      <c r="A62" s="218" t="s">
        <v>520</v>
      </c>
      <c r="B62" s="194">
        <f>0.89*B49*12*2</f>
        <v>19217.592000000001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9"/>
      <c r="GL62" s="179"/>
      <c r="GM62" s="179"/>
      <c r="GN62" s="179"/>
      <c r="GO62" s="179"/>
      <c r="GP62" s="179"/>
      <c r="GQ62" s="179"/>
      <c r="GR62" s="179"/>
      <c r="GS62" s="179"/>
      <c r="GT62" s="179"/>
      <c r="GU62" s="179"/>
      <c r="GV62" s="179"/>
      <c r="GW62" s="179"/>
      <c r="GX62" s="179"/>
      <c r="GY62" s="179"/>
      <c r="GZ62" s="179"/>
      <c r="HA62" s="179"/>
      <c r="HB62" s="179"/>
      <c r="HC62" s="179"/>
      <c r="HD62" s="179"/>
      <c r="HE62" s="179"/>
      <c r="HF62" s="179"/>
      <c r="HG62" s="179"/>
      <c r="HH62" s="179"/>
      <c r="HI62" s="179"/>
      <c r="HJ62" s="179"/>
      <c r="HK62" s="179"/>
      <c r="HL62" s="179"/>
      <c r="HM62" s="179"/>
      <c r="HN62" s="179"/>
      <c r="HO62" s="179"/>
      <c r="HP62" s="179"/>
      <c r="HQ62" s="179"/>
      <c r="HR62" s="179"/>
      <c r="HS62" s="179"/>
      <c r="HT62" s="179"/>
      <c r="HU62" s="179"/>
      <c r="HV62" s="179"/>
      <c r="HW62" s="179"/>
      <c r="HX62" s="179"/>
      <c r="HY62" s="179"/>
      <c r="HZ62" s="179"/>
      <c r="IA62" s="179"/>
      <c r="IB62" s="179"/>
      <c r="IC62" s="179"/>
      <c r="ID62" s="179"/>
      <c r="IE62" s="179"/>
      <c r="IF62" s="179"/>
      <c r="IG62" s="179"/>
      <c r="IH62" s="179"/>
      <c r="II62" s="179"/>
      <c r="IJ62" s="179"/>
      <c r="IK62" s="179"/>
      <c r="IL62" s="179"/>
      <c r="IM62" s="179"/>
      <c r="IN62" s="179"/>
      <c r="IO62" s="179"/>
      <c r="IP62" s="179"/>
      <c r="IQ62" s="179"/>
    </row>
    <row r="63" spans="1:251">
      <c r="A63" s="218" t="s">
        <v>987</v>
      </c>
      <c r="B63" s="194">
        <f>107942.65/45797.5*B49*2</f>
        <v>4241.104960096075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179"/>
      <c r="FP63" s="179"/>
      <c r="FQ63" s="179"/>
      <c r="FR63" s="179"/>
      <c r="FS63" s="179"/>
      <c r="FT63" s="179"/>
      <c r="FU63" s="179"/>
      <c r="FV63" s="179"/>
      <c r="FW63" s="179"/>
      <c r="FX63" s="179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  <c r="GI63" s="179"/>
      <c r="GJ63" s="179"/>
      <c r="GK63" s="179"/>
      <c r="GL63" s="179"/>
      <c r="GM63" s="179"/>
      <c r="GN63" s="179"/>
      <c r="GO63" s="179"/>
      <c r="GP63" s="179"/>
      <c r="GQ63" s="179"/>
      <c r="GR63" s="179"/>
      <c r="GS63" s="179"/>
      <c r="GT63" s="179"/>
      <c r="GU63" s="179"/>
      <c r="GV63" s="179"/>
      <c r="GW63" s="179"/>
      <c r="GX63" s="179"/>
      <c r="GY63" s="179"/>
      <c r="GZ63" s="179"/>
      <c r="HA63" s="179"/>
      <c r="HB63" s="179"/>
      <c r="HC63" s="179"/>
      <c r="HD63" s="179"/>
      <c r="HE63" s="179"/>
      <c r="HF63" s="179"/>
      <c r="HG63" s="179"/>
      <c r="HH63" s="179"/>
      <c r="HI63" s="179"/>
      <c r="HJ63" s="179"/>
      <c r="HK63" s="179"/>
      <c r="HL63" s="179"/>
      <c r="HM63" s="179"/>
      <c r="HN63" s="179"/>
      <c r="HO63" s="179"/>
      <c r="HP63" s="179"/>
      <c r="HQ63" s="179"/>
      <c r="HR63" s="179"/>
      <c r="HS63" s="179"/>
      <c r="HT63" s="179"/>
      <c r="HU63" s="179"/>
      <c r="HV63" s="179"/>
      <c r="HW63" s="179"/>
      <c r="HX63" s="179"/>
      <c r="HY63" s="179"/>
      <c r="HZ63" s="179"/>
      <c r="IA63" s="179"/>
      <c r="IB63" s="179"/>
      <c r="IC63" s="179"/>
      <c r="ID63" s="179"/>
      <c r="IE63" s="179"/>
      <c r="IF63" s="179"/>
      <c r="IG63" s="179"/>
      <c r="IH63" s="179"/>
      <c r="II63" s="179"/>
      <c r="IJ63" s="179"/>
      <c r="IK63" s="179"/>
      <c r="IL63" s="179"/>
      <c r="IM63" s="179"/>
      <c r="IN63" s="179"/>
      <c r="IO63" s="179"/>
      <c r="IP63" s="179"/>
      <c r="IQ63" s="179"/>
    </row>
    <row r="64" spans="1:251">
      <c r="A64" s="218" t="s">
        <v>600</v>
      </c>
      <c r="B64" s="194">
        <f>34*70*2</f>
        <v>4760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  <c r="GI64" s="179"/>
      <c r="GJ64" s="179"/>
      <c r="GK64" s="179"/>
      <c r="GL64" s="179"/>
      <c r="GM64" s="179"/>
      <c r="GN64" s="179"/>
      <c r="GO64" s="179"/>
      <c r="GP64" s="179"/>
      <c r="GQ64" s="179"/>
      <c r="GR64" s="179"/>
      <c r="GS64" s="179"/>
      <c r="GT64" s="179"/>
      <c r="GU64" s="179"/>
      <c r="GV64" s="179"/>
      <c r="GW64" s="179"/>
      <c r="GX64" s="179"/>
      <c r="GY64" s="179"/>
      <c r="GZ64" s="179"/>
      <c r="HA64" s="179"/>
      <c r="HB64" s="179"/>
      <c r="HC64" s="179"/>
      <c r="HD64" s="179"/>
      <c r="HE64" s="179"/>
      <c r="HF64" s="179"/>
      <c r="HG64" s="179"/>
      <c r="HH64" s="179"/>
      <c r="HI64" s="179"/>
      <c r="HJ64" s="179"/>
      <c r="HK64" s="179"/>
      <c r="HL64" s="179"/>
      <c r="HM64" s="179"/>
      <c r="HN64" s="179"/>
      <c r="HO64" s="179"/>
      <c r="HP64" s="179"/>
      <c r="HQ64" s="179"/>
      <c r="HR64" s="179"/>
      <c r="HS64" s="179"/>
      <c r="HT64" s="179"/>
      <c r="HU64" s="179"/>
      <c r="HV64" s="179"/>
      <c r="HW64" s="179"/>
      <c r="HX64" s="179"/>
      <c r="HY64" s="179"/>
      <c r="HZ64" s="179"/>
      <c r="IA64" s="179"/>
      <c r="IB64" s="179"/>
      <c r="IC64" s="179"/>
      <c r="ID64" s="179"/>
      <c r="IE64" s="179"/>
      <c r="IF64" s="179"/>
      <c r="IG64" s="179"/>
      <c r="IH64" s="179"/>
      <c r="II64" s="179"/>
      <c r="IJ64" s="179"/>
      <c r="IK64" s="179"/>
      <c r="IL64" s="179"/>
      <c r="IM64" s="179"/>
      <c r="IN64" s="179"/>
      <c r="IO64" s="179"/>
      <c r="IP64" s="179"/>
      <c r="IQ64" s="179"/>
    </row>
    <row r="65" spans="1:251">
      <c r="A65" s="218" t="s">
        <v>611</v>
      </c>
      <c r="B65" s="194">
        <f>0.01*9100*12*1.302*2</f>
        <v>2843.5680000000002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9"/>
      <c r="GL65" s="179"/>
      <c r="GM65" s="179"/>
      <c r="GN65" s="179"/>
      <c r="GO65" s="179"/>
      <c r="GP65" s="179"/>
      <c r="GQ65" s="179"/>
      <c r="GR65" s="179"/>
      <c r="GS65" s="179"/>
      <c r="GT65" s="179"/>
      <c r="GU65" s="179"/>
      <c r="GV65" s="179"/>
      <c r="GW65" s="179"/>
      <c r="GX65" s="179"/>
      <c r="GY65" s="179"/>
      <c r="GZ65" s="179"/>
      <c r="HA65" s="179"/>
      <c r="HB65" s="179"/>
      <c r="HC65" s="179"/>
      <c r="HD65" s="179"/>
      <c r="HE65" s="179"/>
      <c r="HF65" s="179"/>
      <c r="HG65" s="179"/>
      <c r="HH65" s="179"/>
      <c r="HI65" s="179"/>
      <c r="HJ65" s="179"/>
      <c r="HK65" s="179"/>
      <c r="HL65" s="179"/>
      <c r="HM65" s="179"/>
      <c r="HN65" s="179"/>
      <c r="HO65" s="179"/>
      <c r="HP65" s="179"/>
      <c r="HQ65" s="179"/>
      <c r="HR65" s="179"/>
      <c r="HS65" s="179"/>
      <c r="HT65" s="179"/>
      <c r="HU65" s="179"/>
      <c r="HV65" s="179"/>
      <c r="HW65" s="179"/>
      <c r="HX65" s="179"/>
      <c r="HY65" s="179"/>
      <c r="HZ65" s="179"/>
      <c r="IA65" s="179"/>
      <c r="IB65" s="179"/>
      <c r="IC65" s="179"/>
      <c r="ID65" s="179"/>
      <c r="IE65" s="179"/>
      <c r="IF65" s="179"/>
      <c r="IG65" s="179"/>
      <c r="IH65" s="179"/>
      <c r="II65" s="179"/>
      <c r="IJ65" s="179"/>
      <c r="IK65" s="179"/>
      <c r="IL65" s="179"/>
      <c r="IM65" s="179"/>
      <c r="IN65" s="179"/>
      <c r="IO65" s="179"/>
      <c r="IP65" s="179"/>
      <c r="IQ65" s="179"/>
    </row>
    <row r="66" spans="1:251">
      <c r="A66" s="218" t="s">
        <v>602</v>
      </c>
      <c r="B66" s="194">
        <v>170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9"/>
      <c r="GL66" s="179"/>
      <c r="GM66" s="179"/>
      <c r="GN66" s="179"/>
      <c r="GO66" s="179"/>
      <c r="GP66" s="179"/>
      <c r="GQ66" s="179"/>
      <c r="GR66" s="179"/>
      <c r="GS66" s="179"/>
      <c r="GT66" s="179"/>
      <c r="GU66" s="179"/>
      <c r="GV66" s="179"/>
      <c r="GW66" s="179"/>
      <c r="GX66" s="179"/>
      <c r="GY66" s="179"/>
      <c r="GZ66" s="179"/>
      <c r="HA66" s="179"/>
      <c r="HB66" s="179"/>
      <c r="HC66" s="179"/>
      <c r="HD66" s="179"/>
      <c r="HE66" s="179"/>
      <c r="HF66" s="179"/>
      <c r="HG66" s="179"/>
      <c r="HH66" s="179"/>
      <c r="HI66" s="179"/>
      <c r="HJ66" s="179"/>
      <c r="HK66" s="179"/>
      <c r="HL66" s="179"/>
      <c r="HM66" s="179"/>
      <c r="HN66" s="179"/>
      <c r="HO66" s="179"/>
      <c r="HP66" s="179"/>
      <c r="HQ66" s="179"/>
      <c r="HR66" s="179"/>
      <c r="HS66" s="179"/>
      <c r="HT66" s="179"/>
      <c r="HU66" s="179"/>
      <c r="HV66" s="179"/>
      <c r="HW66" s="179"/>
      <c r="HX66" s="179"/>
      <c r="HY66" s="179"/>
      <c r="HZ66" s="179"/>
      <c r="IA66" s="179"/>
      <c r="IB66" s="179"/>
      <c r="IC66" s="179"/>
      <c r="ID66" s="179"/>
      <c r="IE66" s="179"/>
      <c r="IF66" s="179"/>
      <c r="IG66" s="179"/>
      <c r="IH66" s="179"/>
      <c r="II66" s="179"/>
      <c r="IJ66" s="179"/>
      <c r="IK66" s="179"/>
      <c r="IL66" s="179"/>
      <c r="IM66" s="179"/>
      <c r="IN66" s="179"/>
      <c r="IO66" s="179"/>
      <c r="IP66" s="179"/>
      <c r="IQ66" s="179"/>
    </row>
    <row r="67" spans="1:251">
      <c r="A67" s="218" t="s">
        <v>603</v>
      </c>
      <c r="B67" s="194">
        <f>B66*110*1.302*2</f>
        <v>48694.8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79"/>
      <c r="GD67" s="179"/>
      <c r="GE67" s="179"/>
      <c r="GF67" s="179"/>
      <c r="GG67" s="179"/>
      <c r="GH67" s="179"/>
      <c r="GI67" s="179"/>
      <c r="GJ67" s="179"/>
      <c r="GK67" s="179"/>
      <c r="GL67" s="179"/>
      <c r="GM67" s="179"/>
      <c r="GN67" s="179"/>
      <c r="GO67" s="179"/>
      <c r="GP67" s="179"/>
      <c r="GQ67" s="179"/>
      <c r="GR67" s="179"/>
      <c r="GS67" s="179"/>
      <c r="GT67" s="179"/>
      <c r="GU67" s="179"/>
      <c r="GV67" s="179"/>
      <c r="GW67" s="179"/>
      <c r="GX67" s="179"/>
      <c r="GY67" s="179"/>
      <c r="GZ67" s="179"/>
      <c r="HA67" s="179"/>
      <c r="HB67" s="179"/>
      <c r="HC67" s="179"/>
      <c r="HD67" s="179"/>
      <c r="HE67" s="179"/>
      <c r="HF67" s="179"/>
      <c r="HG67" s="179"/>
      <c r="HH67" s="179"/>
      <c r="HI67" s="179"/>
      <c r="HJ67" s="179"/>
      <c r="HK67" s="179"/>
      <c r="HL67" s="179"/>
      <c r="HM67" s="179"/>
      <c r="HN67" s="179"/>
      <c r="HO67" s="179"/>
      <c r="HP67" s="179"/>
      <c r="HQ67" s="179"/>
      <c r="HR67" s="179"/>
      <c r="HS67" s="179"/>
      <c r="HT67" s="179"/>
      <c r="HU67" s="179"/>
      <c r="HV67" s="179"/>
      <c r="HW67" s="179"/>
      <c r="HX67" s="179"/>
      <c r="HY67" s="179"/>
      <c r="HZ67" s="179"/>
      <c r="IA67" s="179"/>
      <c r="IB67" s="179"/>
      <c r="IC67" s="179"/>
      <c r="ID67" s="179"/>
      <c r="IE67" s="179"/>
      <c r="IF67" s="179"/>
      <c r="IG67" s="179"/>
      <c r="IH67" s="179"/>
      <c r="II67" s="179"/>
      <c r="IJ67" s="179"/>
      <c r="IK67" s="179"/>
      <c r="IL67" s="179"/>
      <c r="IM67" s="179"/>
      <c r="IN67" s="179"/>
      <c r="IO67" s="179"/>
      <c r="IP67" s="179"/>
      <c r="IQ67" s="179"/>
    </row>
    <row r="68" spans="1:251">
      <c r="A68" s="218" t="s">
        <v>1127</v>
      </c>
      <c r="B68" s="194">
        <f>4013.9*1.25</f>
        <v>5017.375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79"/>
      <c r="FK68" s="179"/>
      <c r="FL68" s="179"/>
      <c r="FM68" s="179"/>
      <c r="FN68" s="179"/>
      <c r="FO68" s="179"/>
      <c r="FP68" s="179"/>
      <c r="FQ68" s="179"/>
      <c r="FR68" s="179"/>
      <c r="FS68" s="179"/>
      <c r="FT68" s="179"/>
      <c r="FU68" s="179"/>
      <c r="FV68" s="179"/>
      <c r="FW68" s="179"/>
      <c r="FX68" s="179"/>
      <c r="FY68" s="179"/>
      <c r="FZ68" s="179"/>
      <c r="GA68" s="179"/>
      <c r="GB68" s="179"/>
      <c r="GC68" s="179"/>
      <c r="GD68" s="179"/>
      <c r="GE68" s="179"/>
      <c r="GF68" s="179"/>
      <c r="GG68" s="179"/>
      <c r="GH68" s="179"/>
      <c r="GI68" s="179"/>
      <c r="GJ68" s="179"/>
      <c r="GK68" s="179"/>
      <c r="GL68" s="179"/>
      <c r="GM68" s="179"/>
      <c r="GN68" s="179"/>
      <c r="GO68" s="179"/>
      <c r="GP68" s="179"/>
      <c r="GQ68" s="179"/>
      <c r="GR68" s="179"/>
      <c r="GS68" s="179"/>
      <c r="GT68" s="179"/>
      <c r="GU68" s="179"/>
      <c r="GV68" s="179"/>
      <c r="GW68" s="179"/>
      <c r="GX68" s="179"/>
      <c r="GY68" s="179"/>
      <c r="GZ68" s="179"/>
      <c r="HA68" s="179"/>
      <c r="HB68" s="179"/>
      <c r="HC68" s="179"/>
      <c r="HD68" s="179"/>
      <c r="HE68" s="179"/>
      <c r="HF68" s="179"/>
      <c r="HG68" s="179"/>
      <c r="HH68" s="179"/>
      <c r="HI68" s="179"/>
      <c r="HJ68" s="179"/>
      <c r="HK68" s="179"/>
      <c r="HL68" s="179"/>
      <c r="HM68" s="179"/>
      <c r="HN68" s="179"/>
      <c r="HO68" s="179"/>
      <c r="HP68" s="179"/>
      <c r="HQ68" s="179"/>
      <c r="HR68" s="179"/>
      <c r="HS68" s="179"/>
      <c r="HT68" s="179"/>
      <c r="HU68" s="179"/>
      <c r="HV68" s="179"/>
      <c r="HW68" s="179"/>
      <c r="HX68" s="179"/>
      <c r="HY68" s="179"/>
      <c r="HZ68" s="179"/>
      <c r="IA68" s="179"/>
      <c r="IB68" s="179"/>
      <c r="IC68" s="179"/>
      <c r="ID68" s="179"/>
      <c r="IE68" s="179"/>
      <c r="IF68" s="179"/>
      <c r="IG68" s="179"/>
      <c r="IH68" s="179"/>
      <c r="II68" s="179"/>
      <c r="IJ68" s="179"/>
      <c r="IK68" s="179"/>
      <c r="IL68" s="179"/>
      <c r="IM68" s="179"/>
      <c r="IN68" s="179"/>
      <c r="IO68" s="179"/>
      <c r="IP68" s="179"/>
      <c r="IQ68" s="179"/>
    </row>
    <row r="69" spans="1:251">
      <c r="A69" s="218" t="s">
        <v>1128</v>
      </c>
      <c r="B69" s="194">
        <v>4876.37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9"/>
      <c r="FI69" s="179"/>
      <c r="FJ69" s="179"/>
      <c r="FK69" s="179"/>
      <c r="FL69" s="179"/>
      <c r="FM69" s="179"/>
      <c r="FN69" s="179"/>
      <c r="FO69" s="179"/>
      <c r="FP69" s="179"/>
      <c r="FQ69" s="179"/>
      <c r="FR69" s="179"/>
      <c r="FS69" s="179"/>
      <c r="FT69" s="179"/>
      <c r="FU69" s="179"/>
      <c r="FV69" s="179"/>
      <c r="FW69" s="179"/>
      <c r="FX69" s="179"/>
      <c r="FY69" s="179"/>
      <c r="FZ69" s="179"/>
      <c r="GA69" s="179"/>
      <c r="GB69" s="179"/>
      <c r="GC69" s="179"/>
      <c r="GD69" s="179"/>
      <c r="GE69" s="179"/>
      <c r="GF69" s="179"/>
      <c r="GG69" s="179"/>
      <c r="GH69" s="179"/>
      <c r="GI69" s="179"/>
      <c r="GJ69" s="179"/>
      <c r="GK69" s="179"/>
      <c r="GL69" s="179"/>
      <c r="GM69" s="179"/>
      <c r="GN69" s="179"/>
      <c r="GO69" s="179"/>
      <c r="GP69" s="179"/>
      <c r="GQ69" s="179"/>
      <c r="GR69" s="179"/>
      <c r="GS69" s="179"/>
      <c r="GT69" s="179"/>
      <c r="GU69" s="179"/>
      <c r="GV69" s="179"/>
      <c r="GW69" s="179"/>
      <c r="GX69" s="179"/>
      <c r="GY69" s="179"/>
      <c r="GZ69" s="179"/>
      <c r="HA69" s="179"/>
      <c r="HB69" s="179"/>
      <c r="HC69" s="179"/>
      <c r="HD69" s="179"/>
      <c r="HE69" s="179"/>
      <c r="HF69" s="179"/>
      <c r="HG69" s="179"/>
      <c r="HH69" s="179"/>
      <c r="HI69" s="179"/>
      <c r="HJ69" s="179"/>
      <c r="HK69" s="179"/>
      <c r="HL69" s="179"/>
      <c r="HM69" s="179"/>
      <c r="HN69" s="179"/>
      <c r="HO69" s="179"/>
      <c r="HP69" s="179"/>
      <c r="HQ69" s="179"/>
      <c r="HR69" s="179"/>
      <c r="HS69" s="179"/>
      <c r="HT69" s="179"/>
      <c r="HU69" s="179"/>
      <c r="HV69" s="179"/>
      <c r="HW69" s="179"/>
      <c r="HX69" s="179"/>
      <c r="HY69" s="179"/>
      <c r="HZ69" s="179"/>
      <c r="IA69" s="179"/>
      <c r="IB69" s="179"/>
      <c r="IC69" s="179"/>
      <c r="ID69" s="179"/>
      <c r="IE69" s="179"/>
      <c r="IF69" s="179"/>
      <c r="IG69" s="179"/>
      <c r="IH69" s="179"/>
      <c r="II69" s="179"/>
      <c r="IJ69" s="179"/>
      <c r="IK69" s="179"/>
      <c r="IL69" s="179"/>
      <c r="IM69" s="179"/>
      <c r="IN69" s="179"/>
      <c r="IO69" s="179"/>
      <c r="IP69" s="179"/>
      <c r="IQ69" s="179"/>
    </row>
    <row r="70" spans="1:251">
      <c r="A70" s="218" t="s">
        <v>724</v>
      </c>
      <c r="B70" s="194">
        <f>3233.32*2</f>
        <v>6466.64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79"/>
      <c r="EM70" s="179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79"/>
      <c r="FB70" s="179"/>
      <c r="FC70" s="179"/>
      <c r="FD70" s="179"/>
      <c r="FE70" s="179"/>
      <c r="FF70" s="179"/>
      <c r="FG70" s="179"/>
      <c r="FH70" s="179"/>
      <c r="FI70" s="179"/>
      <c r="FJ70" s="179"/>
      <c r="FK70" s="179"/>
      <c r="FL70" s="179"/>
      <c r="FM70" s="179"/>
      <c r="FN70" s="179"/>
      <c r="FO70" s="179"/>
      <c r="FP70" s="179"/>
      <c r="FQ70" s="179"/>
      <c r="FR70" s="179"/>
      <c r="FS70" s="179"/>
      <c r="FT70" s="179"/>
      <c r="FU70" s="179"/>
      <c r="FV70" s="179"/>
      <c r="FW70" s="179"/>
      <c r="FX70" s="179"/>
      <c r="FY70" s="179"/>
      <c r="FZ70" s="179"/>
      <c r="GA70" s="179"/>
      <c r="GB70" s="179"/>
      <c r="GC70" s="179"/>
      <c r="GD70" s="179"/>
      <c r="GE70" s="179"/>
      <c r="GF70" s="179"/>
      <c r="GG70" s="179"/>
      <c r="GH70" s="179"/>
      <c r="GI70" s="179"/>
      <c r="GJ70" s="179"/>
      <c r="GK70" s="179"/>
      <c r="GL70" s="179"/>
      <c r="GM70" s="179"/>
      <c r="GN70" s="179"/>
      <c r="GO70" s="179"/>
      <c r="GP70" s="179"/>
      <c r="GQ70" s="179"/>
      <c r="GR70" s="179"/>
      <c r="GS70" s="179"/>
      <c r="GT70" s="179"/>
      <c r="GU70" s="179"/>
      <c r="GV70" s="179"/>
      <c r="GW70" s="179"/>
      <c r="GX70" s="179"/>
      <c r="GY70" s="179"/>
      <c r="GZ70" s="179"/>
      <c r="HA70" s="179"/>
      <c r="HB70" s="179"/>
      <c r="HC70" s="179"/>
      <c r="HD70" s="179"/>
      <c r="HE70" s="179"/>
      <c r="HF70" s="179"/>
      <c r="HG70" s="179"/>
      <c r="HH70" s="179"/>
      <c r="HI70" s="179"/>
      <c r="HJ70" s="179"/>
      <c r="HK70" s="179"/>
      <c r="HL70" s="179"/>
      <c r="HM70" s="179"/>
      <c r="HN70" s="179"/>
      <c r="HO70" s="179"/>
      <c r="HP70" s="179"/>
      <c r="HQ70" s="179"/>
      <c r="HR70" s="179"/>
      <c r="HS70" s="179"/>
      <c r="HT70" s="179"/>
      <c r="HU70" s="179"/>
      <c r="HV70" s="179"/>
      <c r="HW70" s="179"/>
      <c r="HX70" s="179"/>
      <c r="HY70" s="179"/>
      <c r="HZ70" s="179"/>
      <c r="IA70" s="179"/>
      <c r="IB70" s="179"/>
      <c r="IC70" s="179"/>
      <c r="ID70" s="179"/>
      <c r="IE70" s="179"/>
      <c r="IF70" s="179"/>
      <c r="IG70" s="179"/>
      <c r="IH70" s="179"/>
      <c r="II70" s="179"/>
      <c r="IJ70" s="179"/>
      <c r="IK70" s="179"/>
      <c r="IL70" s="179"/>
      <c r="IM70" s="179"/>
      <c r="IN70" s="179"/>
      <c r="IO70" s="179"/>
      <c r="IP70" s="179"/>
      <c r="IQ70" s="179"/>
    </row>
    <row r="71" spans="1:251">
      <c r="A71" s="218" t="s">
        <v>1573</v>
      </c>
      <c r="B71" s="194">
        <v>-66127.929999999993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79"/>
      <c r="FK71" s="179"/>
      <c r="FL71" s="179"/>
      <c r="FM71" s="179"/>
      <c r="FN71" s="179"/>
      <c r="FO71" s="179"/>
      <c r="FP71" s="179"/>
      <c r="FQ71" s="179"/>
      <c r="FR71" s="179"/>
      <c r="FS71" s="179"/>
      <c r="FT71" s="179"/>
      <c r="FU71" s="179"/>
      <c r="FV71" s="179"/>
      <c r="FW71" s="179"/>
      <c r="FX71" s="179"/>
      <c r="FY71" s="179"/>
      <c r="FZ71" s="179"/>
      <c r="GA71" s="179"/>
      <c r="GB71" s="179"/>
      <c r="GC71" s="179"/>
      <c r="GD71" s="179"/>
      <c r="GE71" s="179"/>
      <c r="GF71" s="179"/>
      <c r="GG71" s="179"/>
      <c r="GH71" s="179"/>
      <c r="GI71" s="179"/>
      <c r="GJ71" s="179"/>
      <c r="GK71" s="179"/>
      <c r="GL71" s="179"/>
      <c r="GM71" s="179"/>
      <c r="GN71" s="179"/>
      <c r="GO71" s="179"/>
      <c r="GP71" s="179"/>
      <c r="GQ71" s="179"/>
      <c r="GR71" s="179"/>
      <c r="GS71" s="179"/>
      <c r="GT71" s="179"/>
      <c r="GU71" s="179"/>
      <c r="GV71" s="179"/>
      <c r="GW71" s="179"/>
      <c r="GX71" s="179"/>
      <c r="GY71" s="179"/>
      <c r="GZ71" s="179"/>
      <c r="HA71" s="179"/>
      <c r="HB71" s="179"/>
      <c r="HC71" s="179"/>
      <c r="HD71" s="179"/>
      <c r="HE71" s="179"/>
      <c r="HF71" s="179"/>
      <c r="HG71" s="179"/>
      <c r="HH71" s="179"/>
      <c r="HI71" s="179"/>
      <c r="HJ71" s="179"/>
      <c r="HK71" s="179"/>
      <c r="HL71" s="179"/>
      <c r="HM71" s="179"/>
      <c r="HN71" s="179"/>
      <c r="HO71" s="179"/>
      <c r="HP71" s="179"/>
      <c r="HQ71" s="179"/>
      <c r="HR71" s="179"/>
      <c r="HS71" s="179"/>
      <c r="HT71" s="179"/>
      <c r="HU71" s="179"/>
      <c r="HV71" s="179"/>
      <c r="HW71" s="179"/>
      <c r="HX71" s="179"/>
      <c r="HY71" s="179"/>
      <c r="HZ71" s="179"/>
      <c r="IA71" s="179"/>
      <c r="IB71" s="179"/>
      <c r="IC71" s="179"/>
      <c r="ID71" s="179"/>
      <c r="IE71" s="179"/>
      <c r="IF71" s="179"/>
      <c r="IG71" s="179"/>
      <c r="IH71" s="179"/>
      <c r="II71" s="179"/>
      <c r="IJ71" s="179"/>
      <c r="IK71" s="179"/>
      <c r="IL71" s="179"/>
      <c r="IM71" s="179"/>
      <c r="IN71" s="179"/>
      <c r="IO71" s="179"/>
      <c r="IP71" s="179"/>
      <c r="IQ71" s="179"/>
    </row>
    <row r="72" spans="1:251">
      <c r="A72" s="218" t="s">
        <v>1169</v>
      </c>
      <c r="B72" s="194">
        <f>B57-B59-B71</f>
        <v>115219.89318199686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79"/>
      <c r="FK72" s="179"/>
      <c r="FL72" s="179"/>
      <c r="FM72" s="179"/>
      <c r="FN72" s="179"/>
      <c r="FO72" s="179"/>
      <c r="FP72" s="179"/>
      <c r="FQ72" s="179"/>
      <c r="FR72" s="179"/>
      <c r="FS72" s="179"/>
      <c r="FT72" s="179"/>
      <c r="FU72" s="179"/>
      <c r="FV72" s="179"/>
      <c r="FW72" s="179"/>
      <c r="FX72" s="179"/>
      <c r="FY72" s="179"/>
      <c r="FZ72" s="179"/>
      <c r="GA72" s="179"/>
      <c r="GB72" s="179"/>
      <c r="GC72" s="179"/>
      <c r="GD72" s="179"/>
      <c r="GE72" s="179"/>
      <c r="GF72" s="179"/>
      <c r="GG72" s="179"/>
      <c r="GH72" s="179"/>
      <c r="GI72" s="179"/>
      <c r="GJ72" s="179"/>
      <c r="GK72" s="179"/>
      <c r="GL72" s="179"/>
      <c r="GM72" s="179"/>
      <c r="GN72" s="179"/>
      <c r="GO72" s="179"/>
      <c r="GP72" s="179"/>
      <c r="GQ72" s="179"/>
      <c r="GR72" s="179"/>
      <c r="GS72" s="179"/>
      <c r="GT72" s="179"/>
      <c r="GU72" s="179"/>
      <c r="GV72" s="179"/>
      <c r="GW72" s="179"/>
      <c r="GX72" s="179"/>
      <c r="GY72" s="179"/>
      <c r="GZ72" s="179"/>
      <c r="HA72" s="179"/>
      <c r="HB72" s="179"/>
      <c r="HC72" s="179"/>
      <c r="HD72" s="179"/>
      <c r="HE72" s="179"/>
      <c r="HF72" s="179"/>
      <c r="HG72" s="179"/>
      <c r="HH72" s="179"/>
      <c r="HI72" s="179"/>
      <c r="HJ72" s="179"/>
      <c r="HK72" s="179"/>
      <c r="HL72" s="179"/>
      <c r="HM72" s="179"/>
      <c r="HN72" s="179"/>
      <c r="HO72" s="179"/>
      <c r="HP72" s="179"/>
      <c r="HQ72" s="179"/>
      <c r="HR72" s="179"/>
      <c r="HS72" s="179"/>
      <c r="HT72" s="179"/>
      <c r="HU72" s="179"/>
      <c r="HV72" s="179"/>
      <c r="HW72" s="179"/>
      <c r="HX72" s="179"/>
      <c r="HY72" s="179"/>
      <c r="HZ72" s="179"/>
      <c r="IA72" s="179"/>
      <c r="IB72" s="179"/>
      <c r="IC72" s="179"/>
      <c r="ID72" s="179"/>
      <c r="IE72" s="179"/>
      <c r="IF72" s="179"/>
      <c r="IG72" s="179"/>
      <c r="IH72" s="179"/>
      <c r="II72" s="179"/>
      <c r="IJ72" s="179"/>
      <c r="IK72" s="179"/>
      <c r="IL72" s="179"/>
      <c r="IM72" s="179"/>
      <c r="IN72" s="179"/>
      <c r="IO72" s="179"/>
      <c r="IP72" s="179"/>
      <c r="IQ72" s="179"/>
    </row>
    <row r="73" spans="1:25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  <c r="FH73" s="179"/>
      <c r="FI73" s="179"/>
      <c r="FJ73" s="179"/>
      <c r="FK73" s="179"/>
      <c r="FL73" s="179"/>
      <c r="FM73" s="179"/>
      <c r="FN73" s="179"/>
      <c r="FO73" s="179"/>
      <c r="FP73" s="179"/>
      <c r="FQ73" s="179"/>
      <c r="FR73" s="179"/>
      <c r="FS73" s="179"/>
      <c r="FT73" s="179"/>
      <c r="FU73" s="179"/>
      <c r="FV73" s="179"/>
      <c r="FW73" s="179"/>
      <c r="FX73" s="179"/>
      <c r="FY73" s="179"/>
      <c r="FZ73" s="179"/>
      <c r="GA73" s="179"/>
      <c r="GB73" s="179"/>
      <c r="GC73" s="179"/>
      <c r="GD73" s="179"/>
      <c r="GE73" s="179"/>
      <c r="GF73" s="179"/>
      <c r="GG73" s="179"/>
      <c r="GH73" s="179"/>
      <c r="GI73" s="179"/>
      <c r="GJ73" s="179"/>
      <c r="GK73" s="179"/>
      <c r="GL73" s="179"/>
      <c r="GM73" s="179"/>
      <c r="GN73" s="179"/>
      <c r="GO73" s="179"/>
      <c r="GP73" s="179"/>
      <c r="GQ73" s="179"/>
      <c r="GR73" s="179"/>
      <c r="GS73" s="179"/>
      <c r="GT73" s="179"/>
      <c r="GU73" s="179"/>
      <c r="GV73" s="179"/>
      <c r="GW73" s="179"/>
      <c r="GX73" s="179"/>
      <c r="GY73" s="179"/>
      <c r="GZ73" s="179"/>
      <c r="HA73" s="179"/>
      <c r="HB73" s="179"/>
      <c r="HC73" s="179"/>
      <c r="HD73" s="179"/>
      <c r="HE73" s="179"/>
      <c r="HF73" s="179"/>
      <c r="HG73" s="179"/>
      <c r="HH73" s="179"/>
      <c r="HI73" s="179"/>
      <c r="HJ73" s="179"/>
      <c r="HK73" s="179"/>
      <c r="HL73" s="179"/>
      <c r="HM73" s="179"/>
      <c r="HN73" s="179"/>
      <c r="HO73" s="179"/>
      <c r="HP73" s="179"/>
      <c r="HQ73" s="179"/>
      <c r="HR73" s="179"/>
      <c r="HS73" s="179"/>
      <c r="HT73" s="179"/>
      <c r="HU73" s="179"/>
      <c r="HV73" s="179"/>
      <c r="HW73" s="179"/>
      <c r="HX73" s="179"/>
      <c r="HY73" s="179"/>
      <c r="HZ73" s="179"/>
      <c r="IA73" s="179"/>
      <c r="IB73" s="179"/>
      <c r="IC73" s="179"/>
      <c r="ID73" s="179"/>
      <c r="IE73" s="179"/>
      <c r="IF73" s="179"/>
      <c r="IG73" s="179"/>
      <c r="IH73" s="179"/>
      <c r="II73" s="179"/>
      <c r="IJ73" s="179"/>
      <c r="IK73" s="179"/>
      <c r="IL73" s="179"/>
      <c r="IM73" s="179"/>
      <c r="IN73" s="179"/>
      <c r="IO73" s="179"/>
      <c r="IP73" s="179"/>
      <c r="IQ73" s="179"/>
    </row>
    <row r="74" spans="1:251">
      <c r="A74" s="317" t="s">
        <v>605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9"/>
      <c r="GL74" s="179"/>
      <c r="GM74" s="179"/>
      <c r="GN74" s="179"/>
      <c r="GO74" s="179"/>
      <c r="GP74" s="179"/>
      <c r="GQ74" s="179"/>
      <c r="GR74" s="179"/>
      <c r="GS74" s="179"/>
      <c r="GT74" s="179"/>
      <c r="GU74" s="179"/>
      <c r="GV74" s="179"/>
      <c r="GW74" s="179"/>
      <c r="GX74" s="179"/>
      <c r="GY74" s="179"/>
      <c r="GZ74" s="179"/>
      <c r="HA74" s="179"/>
      <c r="HB74" s="179"/>
      <c r="HC74" s="179"/>
      <c r="HD74" s="179"/>
      <c r="HE74" s="179"/>
      <c r="HF74" s="179"/>
      <c r="HG74" s="179"/>
      <c r="HH74" s="179"/>
      <c r="HI74" s="179"/>
      <c r="HJ74" s="179"/>
      <c r="HK74" s="179"/>
      <c r="HL74" s="179"/>
      <c r="HM74" s="179"/>
      <c r="HN74" s="179"/>
      <c r="HO74" s="179"/>
      <c r="HP74" s="179"/>
      <c r="HQ74" s="179"/>
      <c r="HR74" s="179"/>
      <c r="HS74" s="179"/>
      <c r="HT74" s="179"/>
      <c r="HU74" s="179"/>
      <c r="HV74" s="179"/>
      <c r="HW74" s="179"/>
      <c r="HX74" s="179"/>
      <c r="HY74" s="179"/>
      <c r="HZ74" s="179"/>
      <c r="IA74" s="179"/>
      <c r="IB74" s="179"/>
      <c r="IC74" s="179"/>
      <c r="ID74" s="179"/>
      <c r="IE74" s="179"/>
      <c r="IF74" s="179"/>
      <c r="IG74" s="179"/>
      <c r="IH74" s="179"/>
      <c r="II74" s="179"/>
      <c r="IJ74" s="179"/>
      <c r="IK74" s="179"/>
      <c r="IL74" s="179"/>
      <c r="IM74" s="179"/>
      <c r="IN74" s="179"/>
      <c r="IO74" s="179"/>
      <c r="IP74" s="179"/>
      <c r="IQ74" s="179"/>
    </row>
    <row r="76" spans="1:251">
      <c r="A76" s="321" t="s">
        <v>519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58"/>
  <sheetViews>
    <sheetView topLeftCell="A223" workbookViewId="0">
      <selection activeCell="A229" sqref="A229:B254"/>
    </sheetView>
  </sheetViews>
  <sheetFormatPr defaultRowHeight="15"/>
  <cols>
    <col min="1" max="1" width="80.85546875" customWidth="1"/>
    <col min="2" max="2" width="12.42578125" customWidth="1"/>
  </cols>
  <sheetData>
    <row r="1" spans="1:2" ht="15.75">
      <c r="A1" s="701" t="s">
        <v>364</v>
      </c>
      <c r="B1" s="701"/>
    </row>
    <row r="2" spans="1:2" ht="15.75">
      <c r="A2" s="702" t="s">
        <v>244</v>
      </c>
      <c r="B2" s="702"/>
    </row>
    <row r="3" spans="1:2" s="55" customFormat="1" ht="15.75">
      <c r="A3" s="702" t="s">
        <v>1596</v>
      </c>
      <c r="B3" s="702"/>
    </row>
    <row r="4" spans="1:2" s="55" customFormat="1" ht="15.75">
      <c r="A4" s="96"/>
      <c r="B4" s="86"/>
    </row>
    <row r="5" spans="1:2">
      <c r="A5" s="496" t="s">
        <v>229</v>
      </c>
      <c r="B5" s="82" t="s">
        <v>300</v>
      </c>
    </row>
    <row r="6" spans="1:2" ht="15.75" thickBot="1">
      <c r="A6" s="337" t="s">
        <v>0</v>
      </c>
      <c r="B6" s="73"/>
    </row>
    <row r="7" spans="1:2" ht="15.75" thickBot="1">
      <c r="A7" s="499" t="s">
        <v>29</v>
      </c>
      <c r="B7" s="72"/>
    </row>
    <row r="8" spans="1:2" ht="15.75" thickBot="1">
      <c r="A8" s="502" t="s">
        <v>56</v>
      </c>
      <c r="B8" s="72"/>
    </row>
    <row r="9" spans="1:2" ht="15.75" thickBot="1">
      <c r="A9" s="499" t="s">
        <v>57</v>
      </c>
      <c r="B9" s="72"/>
    </row>
    <row r="10" spans="1:2" s="73" customFormat="1" ht="30" customHeight="1">
      <c r="A10" s="400" t="s">
        <v>1819</v>
      </c>
      <c r="B10" s="72">
        <v>2</v>
      </c>
    </row>
    <row r="11" spans="1:2" s="73" customFormat="1" ht="16.5" customHeight="1">
      <c r="A11" s="400" t="s">
        <v>1821</v>
      </c>
      <c r="B11" s="72">
        <v>4</v>
      </c>
    </row>
    <row r="12" spans="1:2" s="73" customFormat="1" ht="30.75" customHeight="1">
      <c r="A12" s="400" t="s">
        <v>1824</v>
      </c>
      <c r="B12" s="72">
        <v>2</v>
      </c>
    </row>
    <row r="13" spans="1:2" s="73" customFormat="1" ht="27.75" customHeight="1" thickBot="1">
      <c r="A13" s="517" t="s">
        <v>1826</v>
      </c>
      <c r="B13" s="72">
        <v>4</v>
      </c>
    </row>
    <row r="14" spans="1:2" s="73" customFormat="1" ht="29.25" thickBot="1">
      <c r="A14" s="518" t="s">
        <v>1841</v>
      </c>
      <c r="B14" s="72">
        <v>12</v>
      </c>
    </row>
    <row r="15" spans="1:2" s="73" customFormat="1" ht="29.25" customHeight="1">
      <c r="A15" s="97" t="s">
        <v>1848</v>
      </c>
      <c r="B15" s="72">
        <f>2+1</f>
        <v>3</v>
      </c>
    </row>
    <row r="16" spans="1:2" s="73" customFormat="1">
      <c r="A16" s="517" t="s">
        <v>1892</v>
      </c>
      <c r="B16" s="72">
        <v>4</v>
      </c>
    </row>
    <row r="17" spans="1:2" s="73" customFormat="1" ht="30" customHeight="1">
      <c r="A17" s="517" t="s">
        <v>1903</v>
      </c>
      <c r="B17" s="72">
        <v>2</v>
      </c>
    </row>
    <row r="18" spans="1:2" s="73" customFormat="1">
      <c r="A18" s="521" t="s">
        <v>1925</v>
      </c>
      <c r="B18" s="72">
        <v>8</v>
      </c>
    </row>
    <row r="19" spans="1:2" s="73" customFormat="1">
      <c r="A19" s="521" t="s">
        <v>1961</v>
      </c>
      <c r="B19" s="72">
        <v>4</v>
      </c>
    </row>
    <row r="20" spans="1:2" s="73" customFormat="1" ht="21.75" customHeight="1">
      <c r="A20" s="521" t="s">
        <v>1974</v>
      </c>
      <c r="B20" s="72">
        <v>8</v>
      </c>
    </row>
    <row r="21" spans="1:2" s="73" customFormat="1" ht="21.75" customHeight="1">
      <c r="A21" s="619" t="s">
        <v>3032</v>
      </c>
      <c r="B21" s="72">
        <v>8</v>
      </c>
    </row>
    <row r="22" spans="1:2" s="73" customFormat="1" ht="21.75" customHeight="1">
      <c r="A22" s="522" t="s">
        <v>1990</v>
      </c>
      <c r="B22" s="72">
        <v>8</v>
      </c>
    </row>
    <row r="23" spans="1:2" s="73" customFormat="1">
      <c r="A23" s="504" t="s">
        <v>66</v>
      </c>
      <c r="B23" s="72"/>
    </row>
    <row r="24" spans="1:2" s="73" customFormat="1">
      <c r="A24" s="132" t="s">
        <v>1818</v>
      </c>
      <c r="B24" s="72">
        <v>4</v>
      </c>
    </row>
    <row r="25" spans="1:2" s="73" customFormat="1">
      <c r="A25" s="132" t="s">
        <v>1822</v>
      </c>
      <c r="B25" s="72">
        <v>2</v>
      </c>
    </row>
    <row r="26" spans="1:2" s="73" customFormat="1" ht="28.5">
      <c r="A26" s="400" t="s">
        <v>1825</v>
      </c>
      <c r="B26" s="72">
        <v>1.5</v>
      </c>
    </row>
    <row r="27" spans="1:2" s="73" customFormat="1" ht="29.25" customHeight="1">
      <c r="A27" s="97" t="s">
        <v>1827</v>
      </c>
      <c r="B27" s="72">
        <v>1.5</v>
      </c>
    </row>
    <row r="28" spans="1:2" s="73" customFormat="1" ht="15" customHeight="1">
      <c r="A28" s="84" t="s">
        <v>1828</v>
      </c>
      <c r="B28" s="72">
        <v>2</v>
      </c>
    </row>
    <row r="29" spans="1:2" s="73" customFormat="1" ht="38.25" customHeight="1">
      <c r="A29" s="97" t="s">
        <v>1829</v>
      </c>
      <c r="B29" s="72">
        <v>6</v>
      </c>
    </row>
    <row r="30" spans="1:2" s="73" customFormat="1" ht="15" customHeight="1">
      <c r="A30" s="138" t="s">
        <v>1844</v>
      </c>
      <c r="B30" s="72">
        <v>2</v>
      </c>
    </row>
    <row r="31" spans="1:2" s="73" customFormat="1" ht="34.5" customHeight="1">
      <c r="A31" s="525" t="s">
        <v>1846</v>
      </c>
      <c r="B31" s="72">
        <v>4</v>
      </c>
    </row>
    <row r="32" spans="1:2" s="73" customFormat="1">
      <c r="A32" s="84" t="s">
        <v>1852</v>
      </c>
      <c r="B32" s="526">
        <v>2</v>
      </c>
    </row>
    <row r="33" spans="1:2">
      <c r="A33" s="414" t="s">
        <v>1856</v>
      </c>
      <c r="B33" s="414">
        <v>3</v>
      </c>
    </row>
    <row r="34" spans="1:2" ht="29.25">
      <c r="A34" s="415" t="s">
        <v>1857</v>
      </c>
      <c r="B34" s="414">
        <v>6</v>
      </c>
    </row>
    <row r="35" spans="1:2">
      <c r="A35" s="414" t="s">
        <v>1858</v>
      </c>
      <c r="B35" s="127">
        <v>2.5</v>
      </c>
    </row>
    <row r="36" spans="1:2" s="73" customFormat="1" ht="28.5">
      <c r="A36" s="97" t="s">
        <v>1895</v>
      </c>
      <c r="B36" s="72">
        <v>2</v>
      </c>
    </row>
    <row r="37" spans="1:2" s="73" customFormat="1" ht="30" customHeight="1">
      <c r="A37" s="97" t="s">
        <v>1899</v>
      </c>
      <c r="B37" s="72">
        <v>1</v>
      </c>
    </row>
    <row r="38" spans="1:2" s="73" customFormat="1" ht="32.25" customHeight="1">
      <c r="A38" s="97" t="s">
        <v>1901</v>
      </c>
      <c r="B38" s="72">
        <v>2</v>
      </c>
    </row>
    <row r="39" spans="1:2" s="73" customFormat="1" ht="15" customHeight="1">
      <c r="A39" s="84" t="s">
        <v>1932</v>
      </c>
      <c r="B39" s="72">
        <v>3</v>
      </c>
    </row>
    <row r="40" spans="1:2" s="73" customFormat="1" ht="21.75" customHeight="1">
      <c r="A40" s="84" t="s">
        <v>1933</v>
      </c>
      <c r="B40" s="72">
        <f>1.5+1.5</f>
        <v>3</v>
      </c>
    </row>
    <row r="41" spans="1:2" s="73" customFormat="1">
      <c r="A41" s="84" t="s">
        <v>1934</v>
      </c>
      <c r="B41" s="72">
        <v>3</v>
      </c>
    </row>
    <row r="42" spans="1:2" s="73" customFormat="1" ht="59.25" customHeight="1">
      <c r="A42" s="97" t="s">
        <v>1935</v>
      </c>
      <c r="B42" s="72">
        <v>2</v>
      </c>
    </row>
    <row r="43" spans="1:2" s="73" customFormat="1" ht="18" customHeight="1">
      <c r="A43" s="97" t="s">
        <v>1941</v>
      </c>
      <c r="B43" s="72">
        <v>2</v>
      </c>
    </row>
    <row r="44" spans="1:2" s="73" customFormat="1" ht="20.25" customHeight="1">
      <c r="A44" s="97" t="s">
        <v>1942</v>
      </c>
      <c r="B44" s="72">
        <v>2</v>
      </c>
    </row>
    <row r="45" spans="1:2" s="73" customFormat="1" ht="18" customHeight="1">
      <c r="A45" s="97" t="s">
        <v>1943</v>
      </c>
      <c r="B45" s="72">
        <v>2</v>
      </c>
    </row>
    <row r="46" spans="1:2" s="73" customFormat="1" ht="28.5" customHeight="1">
      <c r="A46" s="520" t="s">
        <v>1944</v>
      </c>
      <c r="B46" s="72">
        <v>1</v>
      </c>
    </row>
    <row r="47" spans="1:2" s="73" customFormat="1" ht="18" customHeight="1">
      <c r="A47" s="97" t="s">
        <v>1945</v>
      </c>
      <c r="B47" s="72">
        <v>2</v>
      </c>
    </row>
    <row r="48" spans="1:2" s="73" customFormat="1" ht="15" customHeight="1">
      <c r="A48" s="84" t="s">
        <v>1946</v>
      </c>
      <c r="B48" s="72">
        <v>2</v>
      </c>
    </row>
    <row r="49" spans="1:2" s="73" customFormat="1" ht="18.75" customHeight="1">
      <c r="A49" s="519" t="s">
        <v>1948</v>
      </c>
      <c r="B49" s="72">
        <v>2</v>
      </c>
    </row>
    <row r="50" spans="1:2" s="73" customFormat="1" ht="15" customHeight="1">
      <c r="A50" s="519" t="s">
        <v>1949</v>
      </c>
      <c r="B50" s="72">
        <v>2</v>
      </c>
    </row>
    <row r="51" spans="1:2" s="73" customFormat="1" ht="33" customHeight="1">
      <c r="A51" s="97" t="s">
        <v>1951</v>
      </c>
      <c r="B51" s="72">
        <v>2</v>
      </c>
    </row>
    <row r="52" spans="1:2" s="73" customFormat="1" ht="33" customHeight="1">
      <c r="A52" s="524" t="s">
        <v>1952</v>
      </c>
      <c r="B52" s="72">
        <v>2</v>
      </c>
    </row>
    <row r="53" spans="1:2" s="73" customFormat="1" ht="34.5" customHeight="1">
      <c r="A53" s="524" t="s">
        <v>1955</v>
      </c>
      <c r="B53" s="72">
        <v>2</v>
      </c>
    </row>
    <row r="54" spans="1:2" s="73" customFormat="1" ht="15" customHeight="1">
      <c r="A54" s="84" t="s">
        <v>1957</v>
      </c>
      <c r="B54" s="72">
        <v>2</v>
      </c>
    </row>
    <row r="55" spans="1:2" s="73" customFormat="1">
      <c r="A55" s="84" t="s">
        <v>1958</v>
      </c>
      <c r="B55" s="72">
        <v>2</v>
      </c>
    </row>
    <row r="56" spans="1:2" s="73" customFormat="1" ht="22.5" customHeight="1">
      <c r="A56" s="152" t="s">
        <v>1960</v>
      </c>
      <c r="B56" s="72">
        <v>2</v>
      </c>
    </row>
    <row r="57" spans="1:2" s="73" customFormat="1" ht="15" customHeight="1">
      <c r="A57" s="162" t="s">
        <v>1963</v>
      </c>
      <c r="B57" s="72">
        <v>2</v>
      </c>
    </row>
    <row r="58" spans="1:2" s="73" customFormat="1" ht="15" customHeight="1">
      <c r="A58" s="138" t="s">
        <v>1964</v>
      </c>
      <c r="B58" s="72">
        <v>2</v>
      </c>
    </row>
    <row r="59" spans="1:2" s="73" customFormat="1" ht="28.5">
      <c r="A59" s="152" t="s">
        <v>1966</v>
      </c>
      <c r="B59" s="72">
        <v>2</v>
      </c>
    </row>
    <row r="60" spans="1:2" s="73" customFormat="1" ht="15" customHeight="1">
      <c r="A60" s="138" t="s">
        <v>1967</v>
      </c>
      <c r="B60" s="72">
        <v>2</v>
      </c>
    </row>
    <row r="61" spans="1:2" s="73" customFormat="1" ht="33.75" customHeight="1">
      <c r="A61" s="525" t="s">
        <v>1969</v>
      </c>
      <c r="B61" s="72">
        <v>2</v>
      </c>
    </row>
    <row r="62" spans="1:2" s="73" customFormat="1" ht="33.75" customHeight="1">
      <c r="A62" s="525" t="s">
        <v>1976</v>
      </c>
      <c r="B62" s="72">
        <v>4</v>
      </c>
    </row>
    <row r="63" spans="1:2" s="73" customFormat="1" ht="18.75" customHeight="1">
      <c r="A63" s="525" t="s">
        <v>1977</v>
      </c>
      <c r="B63" s="72">
        <v>1</v>
      </c>
    </row>
    <row r="64" spans="1:2" s="73" customFormat="1" ht="18.75" customHeight="1">
      <c r="A64" s="525" t="s">
        <v>1978</v>
      </c>
      <c r="B64" s="72">
        <v>1</v>
      </c>
    </row>
    <row r="65" spans="1:2" s="73" customFormat="1" ht="18.75" customHeight="1">
      <c r="A65" s="525" t="s">
        <v>1979</v>
      </c>
      <c r="B65" s="72">
        <v>1</v>
      </c>
    </row>
    <row r="66" spans="1:2" s="73" customFormat="1" ht="18.75" customHeight="1">
      <c r="A66" s="525" t="s">
        <v>1982</v>
      </c>
      <c r="B66" s="72">
        <v>2</v>
      </c>
    </row>
    <row r="67" spans="1:2" s="73" customFormat="1" ht="18.75" customHeight="1">
      <c r="A67" s="525" t="s">
        <v>1983</v>
      </c>
      <c r="B67" s="72">
        <v>2</v>
      </c>
    </row>
    <row r="68" spans="1:2" s="73" customFormat="1" ht="32.25" customHeight="1">
      <c r="A68" s="525" t="s">
        <v>1984</v>
      </c>
      <c r="B68" s="72">
        <v>4</v>
      </c>
    </row>
    <row r="69" spans="1:2" s="73" customFormat="1" ht="32.25" customHeight="1">
      <c r="A69" s="525" t="s">
        <v>1985</v>
      </c>
      <c r="B69" s="72">
        <v>4</v>
      </c>
    </row>
    <row r="70" spans="1:2" s="73" customFormat="1" ht="32.25" customHeight="1">
      <c r="A70" s="525" t="s">
        <v>1986</v>
      </c>
      <c r="B70" s="72">
        <v>4</v>
      </c>
    </row>
    <row r="71" spans="1:2" s="73" customFormat="1" ht="32.25" customHeight="1">
      <c r="A71" s="525" t="s">
        <v>1987</v>
      </c>
      <c r="B71" s="72">
        <v>8</v>
      </c>
    </row>
    <row r="72" spans="1:2" s="73" customFormat="1" ht="16.5" customHeight="1">
      <c r="A72" s="525" t="s">
        <v>1995</v>
      </c>
      <c r="B72" s="72">
        <v>2</v>
      </c>
    </row>
    <row r="73" spans="1:2" s="73" customFormat="1" ht="31.5" customHeight="1">
      <c r="A73" s="525" t="s">
        <v>1996</v>
      </c>
      <c r="B73" s="72">
        <v>1.5</v>
      </c>
    </row>
    <row r="74" spans="1:2" s="73" customFormat="1" ht="19.5" customHeight="1">
      <c r="A74" s="525" t="s">
        <v>1997</v>
      </c>
      <c r="B74" s="72">
        <v>2</v>
      </c>
    </row>
    <row r="75" spans="1:2" s="73" customFormat="1" ht="19.5" customHeight="1">
      <c r="A75" s="525" t="s">
        <v>1998</v>
      </c>
      <c r="B75" s="72">
        <v>2</v>
      </c>
    </row>
    <row r="76" spans="1:2" s="73" customFormat="1" ht="15.75" customHeight="1">
      <c r="A76" s="525" t="s">
        <v>1999</v>
      </c>
      <c r="B76" s="72">
        <v>2</v>
      </c>
    </row>
    <row r="77" spans="1:2" s="73" customFormat="1" ht="15.75" customHeight="1">
      <c r="A77" s="525" t="s">
        <v>2016</v>
      </c>
      <c r="B77" s="72">
        <v>2</v>
      </c>
    </row>
    <row r="78" spans="1:2" s="73" customFormat="1" ht="15.75" customHeight="1">
      <c r="A78" s="525" t="s">
        <v>2003</v>
      </c>
      <c r="B78" s="72">
        <v>2</v>
      </c>
    </row>
    <row r="79" spans="1:2" s="73" customFormat="1" ht="15.75" customHeight="1">
      <c r="A79" s="525" t="s">
        <v>2005</v>
      </c>
      <c r="B79" s="72">
        <v>2</v>
      </c>
    </row>
    <row r="80" spans="1:2" s="73" customFormat="1" ht="15.75" customHeight="1">
      <c r="A80" s="525" t="s">
        <v>2006</v>
      </c>
      <c r="B80" s="72">
        <v>2</v>
      </c>
    </row>
    <row r="81" spans="1:2" s="73" customFormat="1" ht="15.75" customHeight="1">
      <c r="A81" s="525" t="s">
        <v>2007</v>
      </c>
      <c r="B81" s="72">
        <v>2</v>
      </c>
    </row>
    <row r="82" spans="1:2" s="73" customFormat="1" ht="15.75" customHeight="1">
      <c r="A82" s="525" t="s">
        <v>2008</v>
      </c>
      <c r="B82" s="72">
        <v>2</v>
      </c>
    </row>
    <row r="83" spans="1:2" s="73" customFormat="1" ht="15.75" customHeight="1">
      <c r="A83" s="525" t="s">
        <v>2009</v>
      </c>
      <c r="B83" s="72">
        <v>2</v>
      </c>
    </row>
    <row r="84" spans="1:2" s="73" customFormat="1" ht="15.75" customHeight="1">
      <c r="A84" s="525" t="s">
        <v>2010</v>
      </c>
      <c r="B84" s="72">
        <v>2</v>
      </c>
    </row>
    <row r="85" spans="1:2" s="73" customFormat="1" ht="15.75" customHeight="1">
      <c r="A85" s="525" t="s">
        <v>2011</v>
      </c>
      <c r="B85" s="72">
        <v>2</v>
      </c>
    </row>
    <row r="86" spans="1:2" s="73" customFormat="1" ht="15.75" customHeight="1">
      <c r="A86" s="525" t="s">
        <v>2013</v>
      </c>
      <c r="B86" s="72">
        <v>2</v>
      </c>
    </row>
    <row r="87" spans="1:2" s="73" customFormat="1" ht="15.75" customHeight="1">
      <c r="A87" s="525" t="s">
        <v>2014</v>
      </c>
      <c r="B87" s="72">
        <v>2</v>
      </c>
    </row>
    <row r="88" spans="1:2" s="73" customFormat="1" ht="15.75" customHeight="1">
      <c r="A88" s="525" t="s">
        <v>2015</v>
      </c>
      <c r="B88" s="72">
        <v>2</v>
      </c>
    </row>
    <row r="89" spans="1:2" s="73" customFormat="1" ht="30" customHeight="1">
      <c r="A89" s="525" t="s">
        <v>2018</v>
      </c>
      <c r="B89" s="72">
        <v>2</v>
      </c>
    </row>
    <row r="90" spans="1:2" s="73" customFormat="1" ht="30" customHeight="1">
      <c r="A90" s="525" t="s">
        <v>2019</v>
      </c>
      <c r="B90" s="72">
        <v>2</v>
      </c>
    </row>
    <row r="91" spans="1:2" s="73" customFormat="1" ht="30" customHeight="1">
      <c r="A91" s="525" t="s">
        <v>2020</v>
      </c>
      <c r="B91" s="72">
        <v>2</v>
      </c>
    </row>
    <row r="92" spans="1:2" s="73" customFormat="1">
      <c r="A92" s="505" t="s">
        <v>590</v>
      </c>
      <c r="B92" s="72"/>
    </row>
    <row r="93" spans="1:2" s="73" customFormat="1" ht="30.75" customHeight="1">
      <c r="A93" s="400" t="s">
        <v>1816</v>
      </c>
      <c r="B93" s="72">
        <v>6</v>
      </c>
    </row>
    <row r="94" spans="1:2" s="73" customFormat="1" ht="28.5">
      <c r="A94" s="400" t="s">
        <v>1820</v>
      </c>
      <c r="B94" s="72">
        <v>1.5</v>
      </c>
    </row>
    <row r="95" spans="1:2" s="73" customFormat="1" ht="28.5">
      <c r="A95" s="400" t="s">
        <v>1823</v>
      </c>
      <c r="B95" s="72">
        <v>32</v>
      </c>
    </row>
    <row r="96" spans="1:2" ht="30">
      <c r="A96" s="142" t="s">
        <v>1831</v>
      </c>
      <c r="B96" s="127">
        <v>2</v>
      </c>
    </row>
    <row r="97" spans="1:2" s="73" customFormat="1" ht="28.5">
      <c r="A97" s="400" t="s">
        <v>1832</v>
      </c>
      <c r="B97" s="72">
        <v>6</v>
      </c>
    </row>
    <row r="98" spans="1:2" s="73" customFormat="1" ht="20.25" customHeight="1">
      <c r="A98" s="400" t="s">
        <v>1833</v>
      </c>
      <c r="B98" s="72">
        <v>4</v>
      </c>
    </row>
    <row r="99" spans="1:2" s="73" customFormat="1" ht="28.5">
      <c r="A99" s="400" t="s">
        <v>1834</v>
      </c>
      <c r="B99" s="72">
        <v>4</v>
      </c>
    </row>
    <row r="100" spans="1:2" s="73" customFormat="1" ht="20.25" customHeight="1">
      <c r="A100" s="400" t="s">
        <v>1835</v>
      </c>
      <c r="B100" s="72">
        <v>3.5</v>
      </c>
    </row>
    <row r="101" spans="1:2" s="73" customFormat="1" ht="28.5">
      <c r="A101" s="400" t="s">
        <v>1836</v>
      </c>
      <c r="B101" s="72">
        <v>4</v>
      </c>
    </row>
    <row r="102" spans="1:2" s="73" customFormat="1" ht="28.5">
      <c r="A102" s="400" t="s">
        <v>1840</v>
      </c>
      <c r="B102" s="72">
        <v>1</v>
      </c>
    </row>
    <row r="103" spans="1:2" s="73" customFormat="1" ht="28.5">
      <c r="A103" s="400" t="s">
        <v>1839</v>
      </c>
      <c r="B103" s="72">
        <v>4</v>
      </c>
    </row>
    <row r="104" spans="1:2" s="73" customFormat="1" ht="28.5">
      <c r="A104" s="400" t="s">
        <v>1843</v>
      </c>
      <c r="B104" s="72">
        <v>6</v>
      </c>
    </row>
    <row r="105" spans="1:2" s="73" customFormat="1">
      <c r="A105" s="400" t="s">
        <v>1849</v>
      </c>
      <c r="B105" s="72">
        <v>2.5</v>
      </c>
    </row>
    <row r="106" spans="1:2" s="73" customFormat="1">
      <c r="A106" s="97" t="s">
        <v>3035</v>
      </c>
      <c r="B106" s="72">
        <v>2</v>
      </c>
    </row>
    <row r="107" spans="1:2" s="73" customFormat="1">
      <c r="A107" s="84" t="s">
        <v>1853</v>
      </c>
      <c r="B107" s="72">
        <v>1</v>
      </c>
    </row>
    <row r="108" spans="1:2" s="73" customFormat="1">
      <c r="A108" s="84" t="s">
        <v>1861</v>
      </c>
      <c r="B108" s="72">
        <v>4</v>
      </c>
    </row>
    <row r="109" spans="1:2" s="73" customFormat="1">
      <c r="A109" s="84" t="s">
        <v>1854</v>
      </c>
      <c r="B109" s="72">
        <v>1</v>
      </c>
    </row>
    <row r="110" spans="1:2" s="73" customFormat="1" ht="28.5">
      <c r="A110" s="400" t="s">
        <v>1859</v>
      </c>
      <c r="B110" s="129">
        <v>6</v>
      </c>
    </row>
    <row r="111" spans="1:2" s="73" customFormat="1" ht="28.5">
      <c r="A111" s="400" t="s">
        <v>1860</v>
      </c>
      <c r="B111" s="129">
        <v>9</v>
      </c>
    </row>
    <row r="112" spans="1:2" s="73" customFormat="1" ht="28.5">
      <c r="A112" s="400" t="s">
        <v>1875</v>
      </c>
      <c r="B112" s="129">
        <v>2</v>
      </c>
    </row>
    <row r="113" spans="1:2" s="73" customFormat="1">
      <c r="A113" s="400" t="s">
        <v>1863</v>
      </c>
      <c r="B113" s="129">
        <v>2</v>
      </c>
    </row>
    <row r="114" spans="1:2" s="73" customFormat="1">
      <c r="A114" s="400" t="s">
        <v>1865</v>
      </c>
      <c r="B114" s="129">
        <v>1</v>
      </c>
    </row>
    <row r="115" spans="1:2" s="73" customFormat="1" ht="28.5">
      <c r="A115" s="400" t="s">
        <v>1867</v>
      </c>
      <c r="B115" s="129">
        <v>6</v>
      </c>
    </row>
    <row r="116" spans="1:2" s="73" customFormat="1">
      <c r="A116" s="400" t="s">
        <v>1868</v>
      </c>
      <c r="B116" s="129">
        <v>1.5</v>
      </c>
    </row>
    <row r="117" spans="1:2" s="73" customFormat="1" ht="42.75">
      <c r="A117" s="400" t="s">
        <v>2652</v>
      </c>
      <c r="B117" s="72">
        <v>2</v>
      </c>
    </row>
    <row r="118" spans="1:2" s="73" customFormat="1" ht="28.5">
      <c r="A118" s="400" t="s">
        <v>1872</v>
      </c>
      <c r="B118" s="129">
        <v>1.5</v>
      </c>
    </row>
    <row r="119" spans="1:2" s="73" customFormat="1" ht="28.5">
      <c r="A119" s="400" t="s">
        <v>1877</v>
      </c>
      <c r="B119" s="129">
        <v>1.5</v>
      </c>
    </row>
    <row r="120" spans="1:2" s="73" customFormat="1" ht="16.5" customHeight="1">
      <c r="A120" s="400" t="s">
        <v>1878</v>
      </c>
      <c r="B120" s="129">
        <v>2</v>
      </c>
    </row>
    <row r="121" spans="1:2" s="73" customFormat="1" ht="16.5" customHeight="1">
      <c r="A121" s="400" t="s">
        <v>1881</v>
      </c>
      <c r="B121" s="129">
        <v>1</v>
      </c>
    </row>
    <row r="122" spans="1:2" s="73" customFormat="1" ht="16.5" customHeight="1">
      <c r="A122" s="400" t="s">
        <v>1882</v>
      </c>
      <c r="B122" s="129">
        <v>2</v>
      </c>
    </row>
    <row r="123" spans="1:2" s="73" customFormat="1" ht="30" customHeight="1">
      <c r="A123" s="400" t="s">
        <v>1879</v>
      </c>
      <c r="B123" s="129">
        <v>1</v>
      </c>
    </row>
    <row r="124" spans="1:2" s="73" customFormat="1" ht="30" customHeight="1">
      <c r="A124" s="400" t="s">
        <v>1883</v>
      </c>
      <c r="B124" s="129">
        <v>2</v>
      </c>
    </row>
    <row r="125" spans="1:2" s="73" customFormat="1" ht="28.5">
      <c r="A125" s="400" t="s">
        <v>1866</v>
      </c>
      <c r="B125" s="129">
        <v>2</v>
      </c>
    </row>
    <row r="126" spans="1:2" s="73" customFormat="1">
      <c r="A126" s="400" t="s">
        <v>1884</v>
      </c>
      <c r="B126" s="129">
        <v>4</v>
      </c>
    </row>
    <row r="127" spans="1:2" s="73" customFormat="1">
      <c r="A127" s="400" t="s">
        <v>1886</v>
      </c>
      <c r="B127" s="129">
        <v>4</v>
      </c>
    </row>
    <row r="128" spans="1:2" s="73" customFormat="1">
      <c r="A128" s="400" t="s">
        <v>1885</v>
      </c>
      <c r="B128" s="129">
        <v>4</v>
      </c>
    </row>
    <row r="129" spans="1:2" s="73" customFormat="1">
      <c r="A129" s="400" t="s">
        <v>1880</v>
      </c>
      <c r="B129" s="129">
        <v>4</v>
      </c>
    </row>
    <row r="130" spans="1:2" s="73" customFormat="1" ht="28.5">
      <c r="A130" s="517" t="s">
        <v>1887</v>
      </c>
      <c r="B130" s="72">
        <v>2</v>
      </c>
    </row>
    <row r="131" spans="1:2" s="73" customFormat="1">
      <c r="A131" s="400" t="s">
        <v>1888</v>
      </c>
      <c r="B131" s="72">
        <v>2</v>
      </c>
    </row>
    <row r="132" spans="1:2" s="73" customFormat="1" ht="42.75">
      <c r="A132" s="226" t="s">
        <v>1889</v>
      </c>
      <c r="B132" s="72">
        <v>2</v>
      </c>
    </row>
    <row r="133" spans="1:2" s="73" customFormat="1">
      <c r="A133" s="400" t="s">
        <v>1890</v>
      </c>
      <c r="B133" s="72">
        <v>21</v>
      </c>
    </row>
    <row r="134" spans="1:2" s="73" customFormat="1" ht="28.5">
      <c r="A134" s="400" t="s">
        <v>1891</v>
      </c>
      <c r="B134" s="72">
        <v>4</v>
      </c>
    </row>
    <row r="135" spans="1:2" s="73" customFormat="1" ht="33" customHeight="1">
      <c r="A135" s="515" t="s">
        <v>1894</v>
      </c>
      <c r="B135" s="72">
        <v>1</v>
      </c>
    </row>
    <row r="136" spans="1:2" s="73" customFormat="1">
      <c r="A136" s="84" t="s">
        <v>1896</v>
      </c>
      <c r="B136" s="72">
        <v>3</v>
      </c>
    </row>
    <row r="137" spans="1:2" s="73" customFormat="1">
      <c r="A137" s="84" t="s">
        <v>1897</v>
      </c>
      <c r="B137" s="72">
        <v>2</v>
      </c>
    </row>
    <row r="138" spans="1:2" s="73" customFormat="1">
      <c r="A138" s="84" t="s">
        <v>1898</v>
      </c>
      <c r="B138" s="72">
        <v>2</v>
      </c>
    </row>
    <row r="139" spans="1:2" s="73" customFormat="1">
      <c r="A139" s="400" t="s">
        <v>1900</v>
      </c>
      <c r="B139" s="72">
        <v>2</v>
      </c>
    </row>
    <row r="140" spans="1:2" s="73" customFormat="1" ht="28.5">
      <c r="A140" s="400" t="s">
        <v>1902</v>
      </c>
      <c r="B140" s="72">
        <v>3</v>
      </c>
    </row>
    <row r="141" spans="1:2" s="73" customFormat="1" ht="28.5">
      <c r="A141" s="400" t="s">
        <v>1904</v>
      </c>
      <c r="B141" s="72">
        <v>4</v>
      </c>
    </row>
    <row r="142" spans="1:2" s="73" customFormat="1" ht="28.5">
      <c r="A142" s="400" t="s">
        <v>1918</v>
      </c>
      <c r="B142" s="72">
        <v>2.5</v>
      </c>
    </row>
    <row r="143" spans="1:2" s="73" customFormat="1">
      <c r="A143" s="400" t="s">
        <v>1907</v>
      </c>
      <c r="B143" s="72">
        <v>4</v>
      </c>
    </row>
    <row r="144" spans="1:2" s="73" customFormat="1">
      <c r="A144" s="400" t="s">
        <v>1908</v>
      </c>
      <c r="B144" s="72">
        <v>1.5</v>
      </c>
    </row>
    <row r="145" spans="1:2" s="73" customFormat="1" ht="28.5">
      <c r="A145" s="400" t="s">
        <v>1909</v>
      </c>
      <c r="B145" s="72">
        <v>2</v>
      </c>
    </row>
    <row r="146" spans="1:2" s="73" customFormat="1" ht="28.5">
      <c r="A146" s="400" t="s">
        <v>1911</v>
      </c>
      <c r="B146" s="72">
        <v>4</v>
      </c>
    </row>
    <row r="147" spans="1:2" s="73" customFormat="1" ht="42.75">
      <c r="A147" s="400" t="s">
        <v>1912</v>
      </c>
      <c r="B147" s="72">
        <v>2</v>
      </c>
    </row>
    <row r="148" spans="1:2" s="73" customFormat="1" ht="15" customHeight="1">
      <c r="A148" s="515" t="s">
        <v>1913</v>
      </c>
      <c r="B148" s="72">
        <v>2</v>
      </c>
    </row>
    <row r="149" spans="1:2" s="73" customFormat="1" ht="30" customHeight="1">
      <c r="A149" s="520" t="s">
        <v>1922</v>
      </c>
      <c r="B149" s="72">
        <v>2</v>
      </c>
    </row>
    <row r="150" spans="1:2" s="73" customFormat="1" ht="28.5" customHeight="1">
      <c r="A150" s="520" t="s">
        <v>1919</v>
      </c>
      <c r="B150" s="72">
        <v>4</v>
      </c>
    </row>
    <row r="151" spans="1:2" s="73" customFormat="1" ht="28.5" customHeight="1">
      <c r="A151" s="520" t="s">
        <v>1921</v>
      </c>
      <c r="B151" s="72">
        <v>6</v>
      </c>
    </row>
    <row r="152" spans="1:2" s="73" customFormat="1" ht="29.25" customHeight="1">
      <c r="A152" s="516" t="s">
        <v>1915</v>
      </c>
      <c r="B152" s="72">
        <v>4</v>
      </c>
    </row>
    <row r="153" spans="1:2" s="73" customFormat="1" ht="31.5" customHeight="1">
      <c r="A153" s="520" t="s">
        <v>1923</v>
      </c>
      <c r="B153" s="72">
        <v>4</v>
      </c>
    </row>
    <row r="154" spans="1:2" s="73" customFormat="1" ht="28.5">
      <c r="A154" s="520" t="s">
        <v>1924</v>
      </c>
      <c r="B154" s="72">
        <v>12</v>
      </c>
    </row>
    <row r="155" spans="1:2" s="73" customFormat="1" ht="31.5" customHeight="1">
      <c r="A155" s="524" t="s">
        <v>1927</v>
      </c>
      <c r="B155" s="72">
        <v>2</v>
      </c>
    </row>
    <row r="156" spans="1:2" s="73" customFormat="1" ht="31.5" customHeight="1">
      <c r="A156" s="519" t="s">
        <v>1930</v>
      </c>
      <c r="B156" s="72">
        <v>6</v>
      </c>
    </row>
    <row r="157" spans="1:2" s="73" customFormat="1" ht="30" customHeight="1">
      <c r="A157" s="519" t="s">
        <v>1936</v>
      </c>
      <c r="B157" s="72">
        <v>3</v>
      </c>
    </row>
    <row r="158" spans="1:2" s="73" customFormat="1" ht="30.75" customHeight="1">
      <c r="A158" s="519" t="s">
        <v>1937</v>
      </c>
      <c r="B158" s="72">
        <v>1</v>
      </c>
    </row>
    <row r="159" spans="1:2" s="73" customFormat="1" ht="33" customHeight="1">
      <c r="A159" s="519" t="s">
        <v>1940</v>
      </c>
      <c r="B159" s="72">
        <v>1.5</v>
      </c>
    </row>
    <row r="160" spans="1:2" s="73" customFormat="1" ht="18.75" customHeight="1">
      <c r="A160" s="520" t="s">
        <v>1947</v>
      </c>
      <c r="B160" s="72">
        <v>1.5</v>
      </c>
    </row>
    <row r="161" spans="1:2" s="73" customFormat="1" ht="31.5" customHeight="1">
      <c r="A161" s="520" t="s">
        <v>1953</v>
      </c>
      <c r="B161" s="72">
        <v>3</v>
      </c>
    </row>
    <row r="162" spans="1:2" s="73" customFormat="1" ht="26.25" customHeight="1">
      <c r="A162" s="520" t="s">
        <v>1962</v>
      </c>
      <c r="B162" s="72">
        <v>1.5</v>
      </c>
    </row>
    <row r="163" spans="1:2" s="73" customFormat="1" ht="15" customHeight="1">
      <c r="A163" s="520" t="s">
        <v>1965</v>
      </c>
      <c r="B163" s="72">
        <v>1.5</v>
      </c>
    </row>
    <row r="164" spans="1:2" s="73" customFormat="1" ht="15" customHeight="1">
      <c r="A164" s="520" t="s">
        <v>1968</v>
      </c>
      <c r="B164" s="72">
        <v>3</v>
      </c>
    </row>
    <row r="165" spans="1:2" s="73" customFormat="1" ht="21" customHeight="1">
      <c r="A165" s="400" t="s">
        <v>1972</v>
      </c>
      <c r="B165" s="72">
        <v>1</v>
      </c>
    </row>
    <row r="166" spans="1:2" s="73" customFormat="1" ht="20.25" customHeight="1">
      <c r="A166" s="519" t="s">
        <v>1973</v>
      </c>
      <c r="B166" s="72">
        <v>1.5</v>
      </c>
    </row>
    <row r="167" spans="1:2" s="73" customFormat="1" ht="24" customHeight="1">
      <c r="A167" s="519" t="s">
        <v>1980</v>
      </c>
      <c r="B167" s="72">
        <v>2</v>
      </c>
    </row>
    <row r="168" spans="1:2" s="73" customFormat="1" ht="19.5" customHeight="1">
      <c r="A168" s="520" t="s">
        <v>1981</v>
      </c>
      <c r="B168" s="72">
        <v>1.5</v>
      </c>
    </row>
    <row r="169" spans="1:2" s="73" customFormat="1">
      <c r="A169" s="400" t="s">
        <v>1988</v>
      </c>
      <c r="B169" s="72">
        <v>4</v>
      </c>
    </row>
    <row r="170" spans="1:2" s="73" customFormat="1" ht="19.5" customHeight="1">
      <c r="A170" s="519" t="s">
        <v>1992</v>
      </c>
      <c r="B170" s="72">
        <v>6</v>
      </c>
    </row>
    <row r="171" spans="1:2" s="73" customFormat="1" ht="23.25" customHeight="1">
      <c r="A171" s="519" t="s">
        <v>1993</v>
      </c>
      <c r="B171" s="72">
        <v>6</v>
      </c>
    </row>
    <row r="172" spans="1:2" s="73" customFormat="1" ht="21" customHeight="1">
      <c r="A172" s="520" t="s">
        <v>2001</v>
      </c>
      <c r="B172" s="72">
        <v>2</v>
      </c>
    </row>
    <row r="173" spans="1:2" s="73" customFormat="1" ht="28.5">
      <c r="A173" s="520" t="s">
        <v>2004</v>
      </c>
      <c r="B173" s="72">
        <v>4</v>
      </c>
    </row>
    <row r="174" spans="1:2" s="73" customFormat="1" ht="31.5" customHeight="1">
      <c r="A174" s="524" t="s">
        <v>2012</v>
      </c>
      <c r="B174" s="72">
        <v>4</v>
      </c>
    </row>
    <row r="175" spans="1:2" s="73" customFormat="1">
      <c r="A175" s="400" t="s">
        <v>2017</v>
      </c>
      <c r="B175" s="72">
        <v>6</v>
      </c>
    </row>
    <row r="176" spans="1:2" s="73" customFormat="1" ht="28.5">
      <c r="A176" s="400" t="s">
        <v>2021</v>
      </c>
      <c r="B176" s="72">
        <v>6</v>
      </c>
    </row>
    <row r="177" spans="1:2" s="73" customFormat="1" ht="28.5">
      <c r="A177" s="400" t="s">
        <v>2022</v>
      </c>
      <c r="B177" s="72">
        <v>6</v>
      </c>
    </row>
    <row r="178" spans="1:2" s="73" customFormat="1" ht="27" customHeight="1">
      <c r="A178" s="519" t="s">
        <v>2023</v>
      </c>
      <c r="B178" s="72">
        <v>4</v>
      </c>
    </row>
    <row r="179" spans="1:2" s="73" customFormat="1" ht="29.25" thickBot="1">
      <c r="A179" s="89" t="s">
        <v>2024</v>
      </c>
      <c r="B179" s="72">
        <v>12</v>
      </c>
    </row>
    <row r="180" spans="1:2" s="73" customFormat="1" ht="15.75" customHeight="1">
      <c r="A180" s="387" t="s">
        <v>102</v>
      </c>
      <c r="B180" s="72"/>
    </row>
    <row r="181" spans="1:2" s="73" customFormat="1">
      <c r="A181" s="400" t="s">
        <v>1817</v>
      </c>
      <c r="B181" s="72">
        <v>2</v>
      </c>
    </row>
    <row r="182" spans="1:2" s="73" customFormat="1">
      <c r="A182" s="400" t="s">
        <v>1830</v>
      </c>
      <c r="B182" s="72">
        <v>2</v>
      </c>
    </row>
    <row r="183" spans="1:2" s="73" customFormat="1" ht="28.5">
      <c r="A183" s="400" t="s">
        <v>1837</v>
      </c>
      <c r="B183" s="72">
        <v>2</v>
      </c>
    </row>
    <row r="184" spans="1:2" s="73" customFormat="1">
      <c r="A184" s="400" t="s">
        <v>1838</v>
      </c>
      <c r="B184" s="72">
        <v>1</v>
      </c>
    </row>
    <row r="185" spans="1:2" s="73" customFormat="1" ht="28.5">
      <c r="A185" s="400" t="s">
        <v>1842</v>
      </c>
      <c r="B185" s="72">
        <v>1</v>
      </c>
    </row>
    <row r="186" spans="1:2" s="73" customFormat="1">
      <c r="A186" s="515" t="s">
        <v>1845</v>
      </c>
      <c r="B186" s="72">
        <v>3</v>
      </c>
    </row>
    <row r="187" spans="1:2" s="73" customFormat="1">
      <c r="A187" s="515" t="s">
        <v>1847</v>
      </c>
      <c r="B187" s="72">
        <v>1</v>
      </c>
    </row>
    <row r="188" spans="1:2" s="73" customFormat="1" ht="28.5">
      <c r="A188" s="400" t="s">
        <v>1850</v>
      </c>
      <c r="B188" s="72">
        <v>1.5</v>
      </c>
    </row>
    <row r="189" spans="1:2" s="73" customFormat="1">
      <c r="A189" s="400" t="s">
        <v>1851</v>
      </c>
      <c r="B189" s="72">
        <v>1</v>
      </c>
    </row>
    <row r="190" spans="1:2" s="73" customFormat="1">
      <c r="A190" s="226" t="s">
        <v>1855</v>
      </c>
      <c r="B190" s="72">
        <v>1</v>
      </c>
    </row>
    <row r="191" spans="1:2" s="73" customFormat="1" ht="18" customHeight="1">
      <c r="A191" s="400" t="s">
        <v>1874</v>
      </c>
      <c r="B191" s="72">
        <v>1</v>
      </c>
    </row>
    <row r="192" spans="1:2" s="73" customFormat="1">
      <c r="A192" s="400" t="s">
        <v>1862</v>
      </c>
      <c r="B192" s="72">
        <v>2</v>
      </c>
    </row>
    <row r="193" spans="1:2" s="73" customFormat="1" ht="20.25" customHeight="1">
      <c r="A193" s="146" t="s">
        <v>1864</v>
      </c>
      <c r="B193" s="72">
        <v>1.5</v>
      </c>
    </row>
    <row r="194" spans="1:2" s="73" customFormat="1" ht="28.5">
      <c r="A194" s="400" t="s">
        <v>1869</v>
      </c>
      <c r="B194" s="72">
        <v>2.5</v>
      </c>
    </row>
    <row r="195" spans="1:2" s="73" customFormat="1" ht="28.5">
      <c r="A195" s="400" t="s">
        <v>1870</v>
      </c>
      <c r="B195" s="72">
        <v>1.5</v>
      </c>
    </row>
    <row r="196" spans="1:2" s="73" customFormat="1">
      <c r="A196" s="146" t="s">
        <v>1871</v>
      </c>
      <c r="B196" s="72">
        <v>1</v>
      </c>
    </row>
    <row r="197" spans="1:2" s="73" customFormat="1" ht="28.5">
      <c r="A197" s="400" t="s">
        <v>1873</v>
      </c>
      <c r="B197" s="72">
        <v>1.5</v>
      </c>
    </row>
    <row r="198" spans="1:2" s="73" customFormat="1">
      <c r="A198" s="400" t="s">
        <v>1876</v>
      </c>
      <c r="B198" s="72">
        <v>1.5</v>
      </c>
    </row>
    <row r="199" spans="1:2" s="73" customFormat="1">
      <c r="A199" s="400" t="s">
        <v>1893</v>
      </c>
      <c r="B199" s="72">
        <v>2</v>
      </c>
    </row>
    <row r="200" spans="1:2" s="73" customFormat="1">
      <c r="A200" s="400" t="s">
        <v>1905</v>
      </c>
      <c r="B200" s="72">
        <v>1.5</v>
      </c>
    </row>
    <row r="201" spans="1:2" s="73" customFormat="1">
      <c r="A201" s="400" t="s">
        <v>1916</v>
      </c>
      <c r="B201" s="72">
        <v>1</v>
      </c>
    </row>
    <row r="202" spans="1:2" s="73" customFormat="1" ht="28.5">
      <c r="A202" s="400" t="s">
        <v>1917</v>
      </c>
      <c r="B202" s="72">
        <v>1</v>
      </c>
    </row>
    <row r="203" spans="1:2" s="73" customFormat="1">
      <c r="A203" s="400" t="s">
        <v>1906</v>
      </c>
      <c r="B203" s="72">
        <v>1</v>
      </c>
    </row>
    <row r="204" spans="1:2" s="73" customFormat="1">
      <c r="A204" s="146" t="s">
        <v>1910</v>
      </c>
      <c r="B204" s="72">
        <v>1</v>
      </c>
    </row>
    <row r="205" spans="1:2" s="73" customFormat="1" ht="42.75">
      <c r="A205" s="400" t="s">
        <v>1914</v>
      </c>
      <c r="B205" s="72">
        <v>1.5</v>
      </c>
    </row>
    <row r="206" spans="1:2" s="73" customFormat="1">
      <c r="A206" s="400" t="s">
        <v>1920</v>
      </c>
      <c r="B206" s="72">
        <v>1</v>
      </c>
    </row>
    <row r="207" spans="1:2" s="73" customFormat="1">
      <c r="A207" s="400" t="s">
        <v>1926</v>
      </c>
      <c r="B207" s="72">
        <v>1</v>
      </c>
    </row>
    <row r="208" spans="1:2" s="73" customFormat="1">
      <c r="A208" s="146" t="s">
        <v>1928</v>
      </c>
      <c r="B208" s="72">
        <v>1</v>
      </c>
    </row>
    <row r="209" spans="1:2" s="73" customFormat="1">
      <c r="A209" s="146" t="s">
        <v>1929</v>
      </c>
      <c r="B209" s="72">
        <v>1</v>
      </c>
    </row>
    <row r="210" spans="1:2" s="73" customFormat="1">
      <c r="A210" s="146" t="s">
        <v>1931</v>
      </c>
      <c r="B210" s="72">
        <v>1</v>
      </c>
    </row>
    <row r="211" spans="1:2" s="73" customFormat="1">
      <c r="A211" s="146" t="s">
        <v>1938</v>
      </c>
      <c r="B211" s="72">
        <v>1</v>
      </c>
    </row>
    <row r="212" spans="1:2" s="73" customFormat="1">
      <c r="A212" s="146" t="s">
        <v>1939</v>
      </c>
      <c r="B212" s="72">
        <v>1</v>
      </c>
    </row>
    <row r="213" spans="1:2" s="73" customFormat="1">
      <c r="A213" s="146" t="s">
        <v>1950</v>
      </c>
      <c r="B213" s="72">
        <v>1</v>
      </c>
    </row>
    <row r="214" spans="1:2" s="73" customFormat="1" ht="19.5" customHeight="1">
      <c r="A214" s="146" t="s">
        <v>1954</v>
      </c>
      <c r="B214" s="72">
        <v>1</v>
      </c>
    </row>
    <row r="215" spans="1:2" s="73" customFormat="1" ht="19.5" customHeight="1">
      <c r="A215" s="146" t="s">
        <v>1956</v>
      </c>
      <c r="B215" s="72">
        <v>1</v>
      </c>
    </row>
    <row r="216" spans="1:2" s="73" customFormat="1" ht="19.5" customHeight="1">
      <c r="A216" s="146" t="s">
        <v>1959</v>
      </c>
      <c r="B216" s="72">
        <v>1</v>
      </c>
    </row>
    <row r="217" spans="1:2" s="73" customFormat="1" ht="28.5" customHeight="1">
      <c r="A217" s="146" t="s">
        <v>1970</v>
      </c>
      <c r="B217" s="72">
        <v>1</v>
      </c>
    </row>
    <row r="218" spans="1:2" s="73" customFormat="1" ht="20.25" customHeight="1">
      <c r="A218" s="146" t="s">
        <v>1971</v>
      </c>
      <c r="B218" s="72">
        <v>1</v>
      </c>
    </row>
    <row r="219" spans="1:2" s="73" customFormat="1" ht="20.25" customHeight="1">
      <c r="A219" s="146" t="s">
        <v>1975</v>
      </c>
      <c r="B219" s="72">
        <v>1</v>
      </c>
    </row>
    <row r="220" spans="1:2" s="73" customFormat="1" ht="20.25" customHeight="1">
      <c r="A220" s="146" t="s">
        <v>1989</v>
      </c>
      <c r="B220" s="72">
        <v>1</v>
      </c>
    </row>
    <row r="221" spans="1:2" s="73" customFormat="1" ht="20.25" customHeight="1">
      <c r="A221" s="146" t="s">
        <v>1991</v>
      </c>
      <c r="B221" s="72">
        <v>1</v>
      </c>
    </row>
    <row r="222" spans="1:2" s="73" customFormat="1" ht="20.25" customHeight="1">
      <c r="A222" s="146" t="s">
        <v>1994</v>
      </c>
      <c r="B222" s="72">
        <v>1</v>
      </c>
    </row>
    <row r="223" spans="1:2" s="73" customFormat="1" ht="20.25" customHeight="1">
      <c r="A223" s="146" t="s">
        <v>2000</v>
      </c>
      <c r="B223" s="72">
        <v>1</v>
      </c>
    </row>
    <row r="224" spans="1:2" s="73" customFormat="1" ht="20.25" customHeight="1">
      <c r="A224" s="146" t="s">
        <v>2002</v>
      </c>
      <c r="B224" s="72">
        <v>1</v>
      </c>
    </row>
    <row r="225" spans="1:254" ht="15.75" thickBot="1">
      <c r="A225" s="523" t="s">
        <v>104</v>
      </c>
      <c r="B225" s="72">
        <f>SUM(B7:B224)</f>
        <v>616</v>
      </c>
    </row>
    <row r="226" spans="1:254">
      <c r="A226" s="78"/>
      <c r="B226" s="75"/>
    </row>
    <row r="227" spans="1:254" ht="15.75">
      <c r="A227" s="727" t="s">
        <v>233</v>
      </c>
      <c r="B227" s="727"/>
    </row>
    <row r="228" spans="1:254">
      <c r="A228" s="75"/>
      <c r="B228" s="75"/>
    </row>
    <row r="229" spans="1:254" s="179" customFormat="1" ht="43.5" customHeight="1">
      <c r="A229" s="447" t="s">
        <v>1601</v>
      </c>
      <c r="IT229"/>
    </row>
    <row r="230" spans="1:254">
      <c r="A230" s="217" t="s">
        <v>593</v>
      </c>
      <c r="B230" s="541">
        <v>2596</v>
      </c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9"/>
      <c r="AU230" s="179"/>
      <c r="AV230" s="179"/>
      <c r="AW230" s="179"/>
      <c r="AX230" s="179"/>
      <c r="AY230" s="179"/>
      <c r="AZ230" s="179"/>
      <c r="BA230" s="179"/>
      <c r="BB230" s="179"/>
      <c r="BC230" s="179"/>
      <c r="BD230" s="179"/>
      <c r="BE230" s="179"/>
      <c r="BF230" s="179"/>
      <c r="BG230" s="179"/>
      <c r="BH230" s="179"/>
      <c r="BI230" s="179"/>
      <c r="BJ230" s="179"/>
      <c r="BK230" s="179"/>
      <c r="BL230" s="179"/>
      <c r="BM230" s="179"/>
      <c r="BN230" s="179"/>
      <c r="BO230" s="179"/>
      <c r="BP230" s="179"/>
      <c r="BQ230" s="179"/>
      <c r="BR230" s="179"/>
      <c r="BS230" s="179"/>
      <c r="BT230" s="179"/>
      <c r="BU230" s="179"/>
      <c r="BV230" s="179"/>
      <c r="BW230" s="179"/>
      <c r="BX230" s="179"/>
      <c r="BY230" s="179"/>
      <c r="BZ230" s="179"/>
      <c r="CA230" s="179"/>
      <c r="CB230" s="179"/>
      <c r="CC230" s="179"/>
      <c r="CD230" s="179"/>
      <c r="CE230" s="179"/>
      <c r="CF230" s="179"/>
      <c r="CG230" s="179"/>
      <c r="CH230" s="179"/>
      <c r="CI230" s="179"/>
      <c r="CJ230" s="179"/>
      <c r="CK230" s="179"/>
      <c r="CL230" s="179"/>
      <c r="CM230" s="179"/>
      <c r="CN230" s="179"/>
      <c r="CO230" s="179"/>
      <c r="CP230" s="179"/>
      <c r="CQ230" s="179"/>
      <c r="CR230" s="179"/>
      <c r="CS230" s="179"/>
      <c r="CT230" s="179"/>
      <c r="CU230" s="179"/>
      <c r="CV230" s="179"/>
      <c r="CW230" s="179"/>
      <c r="CX230" s="179"/>
      <c r="CY230" s="179"/>
      <c r="CZ230" s="179"/>
      <c r="DA230" s="179"/>
      <c r="DB230" s="179"/>
      <c r="DC230" s="179"/>
      <c r="DD230" s="179"/>
      <c r="DE230" s="179"/>
      <c r="DF230" s="179"/>
      <c r="DG230" s="179"/>
      <c r="DH230" s="179"/>
      <c r="DI230" s="179"/>
      <c r="DJ230" s="179"/>
      <c r="DK230" s="179"/>
      <c r="DL230" s="179"/>
      <c r="DM230" s="179"/>
      <c r="DN230" s="179"/>
      <c r="DO230" s="179"/>
      <c r="DP230" s="179"/>
      <c r="DQ230" s="179"/>
      <c r="DR230" s="179"/>
      <c r="DS230" s="179"/>
      <c r="DT230" s="179"/>
      <c r="DU230" s="179"/>
      <c r="DV230" s="179"/>
      <c r="DW230" s="179"/>
      <c r="DX230" s="179"/>
      <c r="DY230" s="179"/>
      <c r="DZ230" s="179"/>
      <c r="EA230" s="179"/>
      <c r="EB230" s="179"/>
      <c r="EC230" s="179"/>
      <c r="ED230" s="179"/>
      <c r="EE230" s="179"/>
      <c r="EF230" s="179"/>
      <c r="EG230" s="179"/>
      <c r="EH230" s="179"/>
      <c r="EI230" s="179"/>
      <c r="EJ230" s="179"/>
      <c r="EK230" s="179"/>
      <c r="EL230" s="179"/>
      <c r="EM230" s="179"/>
      <c r="EN230" s="179"/>
      <c r="EO230" s="179"/>
      <c r="EP230" s="179"/>
      <c r="EQ230" s="179"/>
      <c r="ER230" s="179"/>
      <c r="ES230" s="179"/>
      <c r="ET230" s="179"/>
      <c r="EU230" s="179"/>
      <c r="EV230" s="179"/>
      <c r="EW230" s="179"/>
      <c r="EX230" s="179"/>
      <c r="EY230" s="179"/>
      <c r="EZ230" s="179"/>
      <c r="FA230" s="179"/>
      <c r="FB230" s="179"/>
      <c r="FC230" s="179"/>
      <c r="FD230" s="179"/>
      <c r="FE230" s="179"/>
      <c r="FF230" s="179"/>
      <c r="FG230" s="179"/>
      <c r="FH230" s="179"/>
      <c r="FI230" s="179"/>
      <c r="FJ230" s="179"/>
      <c r="FK230" s="179"/>
      <c r="FL230" s="179"/>
      <c r="FM230" s="179"/>
      <c r="FN230" s="179"/>
      <c r="FO230" s="179"/>
      <c r="FP230" s="179"/>
      <c r="FQ230" s="179"/>
      <c r="FR230" s="179"/>
      <c r="FS230" s="179"/>
      <c r="FT230" s="179"/>
      <c r="FU230" s="179"/>
      <c r="FV230" s="179"/>
      <c r="FW230" s="179"/>
      <c r="FX230" s="179"/>
      <c r="FY230" s="179"/>
      <c r="FZ230" s="179"/>
      <c r="GA230" s="179"/>
      <c r="GB230" s="179"/>
      <c r="GC230" s="179"/>
      <c r="GD230" s="179"/>
      <c r="GE230" s="179"/>
      <c r="GF230" s="179"/>
      <c r="GG230" s="179"/>
      <c r="GH230" s="179"/>
      <c r="GI230" s="179"/>
      <c r="GJ230" s="179"/>
      <c r="GK230" s="179"/>
      <c r="GL230" s="179"/>
      <c r="GM230" s="179"/>
      <c r="GN230" s="179"/>
      <c r="GO230" s="179"/>
      <c r="GP230" s="179"/>
      <c r="GQ230" s="179"/>
      <c r="GR230" s="179"/>
      <c r="GS230" s="179"/>
      <c r="GT230" s="179"/>
      <c r="GU230" s="179"/>
      <c r="GV230" s="179"/>
      <c r="GW230" s="179"/>
      <c r="GX230" s="179"/>
      <c r="GY230" s="179"/>
      <c r="GZ230" s="179"/>
      <c r="HA230" s="179"/>
      <c r="HB230" s="179"/>
      <c r="HC230" s="179"/>
      <c r="HD230" s="179"/>
      <c r="HE230" s="179"/>
      <c r="HF230" s="179"/>
      <c r="HG230" s="179"/>
      <c r="HH230" s="179"/>
      <c r="HI230" s="179"/>
      <c r="HJ230" s="179"/>
      <c r="HK230" s="179"/>
      <c r="HL230" s="179"/>
      <c r="HM230" s="179"/>
      <c r="HN230" s="179"/>
      <c r="HO230" s="179"/>
      <c r="HP230" s="179"/>
      <c r="HQ230" s="179"/>
      <c r="HR230" s="179"/>
      <c r="HS230" s="179"/>
      <c r="HT230" s="179"/>
      <c r="HU230" s="179"/>
      <c r="HV230" s="179"/>
      <c r="HW230" s="179"/>
      <c r="HX230" s="179"/>
      <c r="HY230" s="179"/>
      <c r="HZ230" s="179"/>
      <c r="IA230" s="179"/>
      <c r="IB230" s="179"/>
      <c r="IC230" s="179"/>
      <c r="ID230" s="179"/>
      <c r="IE230" s="179"/>
      <c r="IF230" s="179"/>
      <c r="IG230" s="179"/>
      <c r="IH230" s="179"/>
      <c r="II230" s="179"/>
      <c r="IJ230" s="179"/>
      <c r="IK230" s="179"/>
      <c r="IL230" s="179"/>
      <c r="IM230" s="179"/>
      <c r="IN230" s="179"/>
      <c r="IO230" s="179"/>
      <c r="IP230" s="179"/>
      <c r="IQ230" s="179"/>
      <c r="IR230" s="179"/>
      <c r="IS230" s="179"/>
    </row>
    <row r="231" spans="1:254">
      <c r="A231" s="217" t="s">
        <v>594</v>
      </c>
      <c r="B231" s="541">
        <v>19.16</v>
      </c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  <c r="BK231" s="179"/>
      <c r="BL231" s="179"/>
      <c r="BM231" s="179"/>
      <c r="BN231" s="179"/>
      <c r="BO231" s="179"/>
      <c r="BP231" s="179"/>
      <c r="BQ231" s="179"/>
      <c r="BR231" s="179"/>
      <c r="BS231" s="179"/>
      <c r="BT231" s="179"/>
      <c r="BU231" s="179"/>
      <c r="BV231" s="179"/>
      <c r="BW231" s="179"/>
      <c r="BX231" s="179"/>
      <c r="BY231" s="179"/>
      <c r="BZ231" s="179"/>
      <c r="CA231" s="179"/>
      <c r="CB231" s="179"/>
      <c r="CC231" s="179"/>
      <c r="CD231" s="179"/>
      <c r="CE231" s="179"/>
      <c r="CF231" s="179"/>
      <c r="CG231" s="179"/>
      <c r="CH231" s="179"/>
      <c r="CI231" s="179"/>
      <c r="CJ231" s="179"/>
      <c r="CK231" s="179"/>
      <c r="CL231" s="179"/>
      <c r="CM231" s="179"/>
      <c r="CN231" s="179"/>
      <c r="CO231" s="179"/>
      <c r="CP231" s="179"/>
      <c r="CQ231" s="179"/>
      <c r="CR231" s="179"/>
      <c r="CS231" s="179"/>
      <c r="CT231" s="179"/>
      <c r="CU231" s="179"/>
      <c r="CV231" s="179"/>
      <c r="CW231" s="179"/>
      <c r="CX231" s="179"/>
      <c r="CY231" s="179"/>
      <c r="CZ231" s="179"/>
      <c r="DA231" s="179"/>
      <c r="DB231" s="179"/>
      <c r="DC231" s="179"/>
      <c r="DD231" s="179"/>
      <c r="DE231" s="179"/>
      <c r="DF231" s="179"/>
      <c r="DG231" s="179"/>
      <c r="DH231" s="179"/>
      <c r="DI231" s="179"/>
      <c r="DJ231" s="179"/>
      <c r="DK231" s="179"/>
      <c r="DL231" s="179"/>
      <c r="DM231" s="179"/>
      <c r="DN231" s="179"/>
      <c r="DO231" s="179"/>
      <c r="DP231" s="179"/>
      <c r="DQ231" s="179"/>
      <c r="DR231" s="179"/>
      <c r="DS231" s="179"/>
      <c r="DT231" s="179"/>
      <c r="DU231" s="179"/>
      <c r="DV231" s="179"/>
      <c r="DW231" s="179"/>
      <c r="DX231" s="179"/>
      <c r="DY231" s="179"/>
      <c r="DZ231" s="179"/>
      <c r="EA231" s="179"/>
      <c r="EB231" s="179"/>
      <c r="EC231" s="179"/>
      <c r="ED231" s="179"/>
      <c r="EE231" s="179"/>
      <c r="EF231" s="179"/>
      <c r="EG231" s="179"/>
      <c r="EH231" s="179"/>
      <c r="EI231" s="179"/>
      <c r="EJ231" s="179"/>
      <c r="EK231" s="179"/>
      <c r="EL231" s="179"/>
      <c r="EM231" s="179"/>
      <c r="EN231" s="179"/>
      <c r="EO231" s="179"/>
      <c r="EP231" s="179"/>
      <c r="EQ231" s="179"/>
      <c r="ER231" s="179"/>
      <c r="ES231" s="179"/>
      <c r="ET231" s="179"/>
      <c r="EU231" s="179"/>
      <c r="EV231" s="179"/>
      <c r="EW231" s="179"/>
      <c r="EX231" s="179"/>
      <c r="EY231" s="179"/>
      <c r="EZ231" s="179"/>
      <c r="FA231" s="179"/>
      <c r="FB231" s="179"/>
      <c r="FC231" s="179"/>
      <c r="FD231" s="179"/>
      <c r="FE231" s="179"/>
      <c r="FF231" s="179"/>
      <c r="FG231" s="179"/>
      <c r="FH231" s="179"/>
      <c r="FI231" s="179"/>
      <c r="FJ231" s="179"/>
      <c r="FK231" s="179"/>
      <c r="FL231" s="179"/>
      <c r="FM231" s="179"/>
      <c r="FN231" s="179"/>
      <c r="FO231" s="179"/>
      <c r="FP231" s="179"/>
      <c r="FQ231" s="179"/>
      <c r="FR231" s="179"/>
      <c r="FS231" s="179"/>
      <c r="FT231" s="179"/>
      <c r="FU231" s="179"/>
      <c r="FV231" s="179"/>
      <c r="FW231" s="179"/>
      <c r="FX231" s="179"/>
      <c r="FY231" s="179"/>
      <c r="FZ231" s="179"/>
      <c r="GA231" s="179"/>
      <c r="GB231" s="179"/>
      <c r="GC231" s="179"/>
      <c r="GD231" s="179"/>
      <c r="GE231" s="179"/>
      <c r="GF231" s="179"/>
      <c r="GG231" s="179"/>
      <c r="GH231" s="179"/>
      <c r="GI231" s="179"/>
      <c r="GJ231" s="179"/>
      <c r="GK231" s="179"/>
      <c r="GL231" s="179"/>
      <c r="GM231" s="179"/>
      <c r="GN231" s="179"/>
      <c r="GO231" s="179"/>
      <c r="GP231" s="179"/>
      <c r="GQ231" s="179"/>
      <c r="GR231" s="179"/>
      <c r="GS231" s="179"/>
      <c r="GT231" s="179"/>
      <c r="GU231" s="179"/>
      <c r="GV231" s="179"/>
      <c r="GW231" s="179"/>
      <c r="GX231" s="179"/>
      <c r="GY231" s="179"/>
      <c r="GZ231" s="179"/>
      <c r="HA231" s="179"/>
      <c r="HB231" s="179"/>
      <c r="HC231" s="179"/>
      <c r="HD231" s="179"/>
      <c r="HE231" s="179"/>
      <c r="HF231" s="179"/>
      <c r="HG231" s="179"/>
      <c r="HH231" s="179"/>
      <c r="HI231" s="179"/>
      <c r="HJ231" s="179"/>
      <c r="HK231" s="179"/>
      <c r="HL231" s="179"/>
      <c r="HM231" s="179"/>
      <c r="HN231" s="179"/>
      <c r="HO231" s="179"/>
      <c r="HP231" s="179"/>
      <c r="HQ231" s="179"/>
      <c r="HR231" s="179"/>
      <c r="HS231" s="179"/>
      <c r="HT231" s="179"/>
      <c r="HU231" s="179"/>
      <c r="HV231" s="179"/>
      <c r="HW231" s="179"/>
      <c r="HX231" s="179"/>
      <c r="HY231" s="179"/>
      <c r="HZ231" s="179"/>
      <c r="IA231" s="179"/>
      <c r="IB231" s="179"/>
      <c r="IC231" s="179"/>
      <c r="ID231" s="179"/>
      <c r="IE231" s="179"/>
      <c r="IF231" s="179"/>
      <c r="IG231" s="179"/>
      <c r="IH231" s="179"/>
      <c r="II231" s="179"/>
      <c r="IJ231" s="179"/>
      <c r="IK231" s="179"/>
      <c r="IL231" s="179"/>
      <c r="IM231" s="179"/>
      <c r="IN231" s="179"/>
      <c r="IO231" s="179"/>
      <c r="IP231" s="179"/>
      <c r="IQ231" s="179"/>
      <c r="IR231" s="179"/>
      <c r="IS231" s="179"/>
    </row>
    <row r="232" spans="1:254">
      <c r="A232" s="218" t="s">
        <v>711</v>
      </c>
      <c r="B232" s="464">
        <v>134881.43</v>
      </c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79"/>
      <c r="BD232" s="179"/>
      <c r="BE232" s="179"/>
      <c r="BF232" s="179"/>
      <c r="BG232" s="179"/>
      <c r="BH232" s="179"/>
      <c r="BI232" s="179"/>
      <c r="BJ232" s="179"/>
      <c r="BK232" s="179"/>
      <c r="BL232" s="179"/>
      <c r="BM232" s="179"/>
      <c r="BN232" s="179"/>
      <c r="BO232" s="179"/>
      <c r="BP232" s="179"/>
      <c r="BQ232" s="179"/>
      <c r="BR232" s="179"/>
      <c r="BS232" s="179"/>
      <c r="BT232" s="179"/>
      <c r="BU232" s="179"/>
      <c r="BV232" s="179"/>
      <c r="BW232" s="179"/>
      <c r="BX232" s="179"/>
      <c r="BY232" s="179"/>
      <c r="BZ232" s="179"/>
      <c r="CA232" s="179"/>
      <c r="CB232" s="179"/>
      <c r="CC232" s="179"/>
      <c r="CD232" s="179"/>
      <c r="CE232" s="179"/>
      <c r="CF232" s="179"/>
      <c r="CG232" s="179"/>
      <c r="CH232" s="179"/>
      <c r="CI232" s="179"/>
      <c r="CJ232" s="179"/>
      <c r="CK232" s="179"/>
      <c r="CL232" s="179"/>
      <c r="CM232" s="179"/>
      <c r="CN232" s="179"/>
      <c r="CO232" s="179"/>
      <c r="CP232" s="179"/>
      <c r="CQ232" s="179"/>
      <c r="CR232" s="179"/>
      <c r="CS232" s="179"/>
      <c r="CT232" s="179"/>
      <c r="CU232" s="179"/>
      <c r="CV232" s="179"/>
      <c r="CW232" s="179"/>
      <c r="CX232" s="179"/>
      <c r="CY232" s="179"/>
      <c r="CZ232" s="179"/>
      <c r="DA232" s="179"/>
      <c r="DB232" s="179"/>
      <c r="DC232" s="179"/>
      <c r="DD232" s="179"/>
      <c r="DE232" s="179"/>
      <c r="DF232" s="179"/>
      <c r="DG232" s="179"/>
      <c r="DH232" s="179"/>
      <c r="DI232" s="179"/>
      <c r="DJ232" s="179"/>
      <c r="DK232" s="179"/>
      <c r="DL232" s="179"/>
      <c r="DM232" s="179"/>
      <c r="DN232" s="179"/>
      <c r="DO232" s="179"/>
      <c r="DP232" s="179"/>
      <c r="DQ232" s="179"/>
      <c r="DR232" s="179"/>
      <c r="DS232" s="179"/>
      <c r="DT232" s="179"/>
      <c r="DU232" s="179"/>
      <c r="DV232" s="179"/>
      <c r="DW232" s="179"/>
      <c r="DX232" s="179"/>
      <c r="DY232" s="179"/>
      <c r="DZ232" s="179"/>
      <c r="EA232" s="179"/>
      <c r="EB232" s="179"/>
      <c r="EC232" s="179"/>
      <c r="ED232" s="179"/>
      <c r="EE232" s="179"/>
      <c r="EF232" s="179"/>
      <c r="EG232" s="179"/>
      <c r="EH232" s="179"/>
      <c r="EI232" s="179"/>
      <c r="EJ232" s="179"/>
      <c r="EK232" s="179"/>
      <c r="EL232" s="179"/>
      <c r="EM232" s="179"/>
      <c r="EN232" s="179"/>
      <c r="EO232" s="179"/>
      <c r="EP232" s="179"/>
      <c r="EQ232" s="179"/>
      <c r="ER232" s="179"/>
      <c r="ES232" s="179"/>
      <c r="ET232" s="179"/>
      <c r="EU232" s="179"/>
      <c r="EV232" s="179"/>
      <c r="EW232" s="179"/>
      <c r="EX232" s="179"/>
      <c r="EY232" s="179"/>
      <c r="EZ232" s="179"/>
      <c r="FA232" s="179"/>
      <c r="FB232" s="179"/>
      <c r="FC232" s="179"/>
      <c r="FD232" s="179"/>
      <c r="FE232" s="179"/>
      <c r="FF232" s="179"/>
      <c r="FG232" s="179"/>
      <c r="FH232" s="179"/>
      <c r="FI232" s="179"/>
      <c r="FJ232" s="179"/>
      <c r="FK232" s="179"/>
      <c r="FL232" s="179"/>
      <c r="FM232" s="179"/>
      <c r="FN232" s="179"/>
      <c r="FO232" s="179"/>
      <c r="FP232" s="179"/>
      <c r="FQ232" s="179"/>
      <c r="FR232" s="179"/>
      <c r="FS232" s="179"/>
      <c r="FT232" s="179"/>
      <c r="FU232" s="179"/>
      <c r="FV232" s="179"/>
      <c r="FW232" s="179"/>
      <c r="FX232" s="179"/>
      <c r="FY232" s="179"/>
      <c r="FZ232" s="179"/>
      <c r="GA232" s="179"/>
      <c r="GB232" s="179"/>
      <c r="GC232" s="179"/>
      <c r="GD232" s="179"/>
      <c r="GE232" s="179"/>
      <c r="GF232" s="179"/>
      <c r="GG232" s="179"/>
      <c r="GH232" s="179"/>
      <c r="GI232" s="179"/>
      <c r="GJ232" s="179"/>
      <c r="GK232" s="179"/>
      <c r="GL232" s="179"/>
      <c r="GM232" s="179"/>
      <c r="GN232" s="179"/>
      <c r="GO232" s="179"/>
      <c r="GP232" s="179"/>
      <c r="GQ232" s="179"/>
      <c r="GR232" s="179"/>
      <c r="GS232" s="179"/>
      <c r="GT232" s="179"/>
      <c r="GU232" s="179"/>
      <c r="GV232" s="179"/>
      <c r="GW232" s="179"/>
      <c r="GX232" s="179"/>
      <c r="GY232" s="179"/>
      <c r="GZ232" s="179"/>
      <c r="HA232" s="179"/>
      <c r="HB232" s="179"/>
      <c r="HC232" s="179"/>
      <c r="HD232" s="179"/>
      <c r="HE232" s="179"/>
      <c r="HF232" s="179"/>
      <c r="HG232" s="179"/>
      <c r="HH232" s="179"/>
      <c r="HI232" s="179"/>
      <c r="HJ232" s="179"/>
      <c r="HK232" s="179"/>
      <c r="HL232" s="179"/>
      <c r="HM232" s="179"/>
      <c r="HN232" s="179"/>
      <c r="HO232" s="179"/>
      <c r="HP232" s="179"/>
      <c r="HQ232" s="179"/>
      <c r="HR232" s="179"/>
      <c r="HS232" s="179"/>
      <c r="HT232" s="179"/>
      <c r="HU232" s="179"/>
      <c r="HV232" s="179"/>
      <c r="HW232" s="179"/>
      <c r="HX232" s="179"/>
      <c r="HY232" s="179"/>
      <c r="HZ232" s="179"/>
      <c r="IA232" s="179"/>
      <c r="IB232" s="179"/>
      <c r="IC232" s="179"/>
      <c r="ID232" s="179"/>
      <c r="IE232" s="179"/>
      <c r="IF232" s="179"/>
      <c r="IG232" s="179"/>
      <c r="IH232" s="179"/>
      <c r="II232" s="179"/>
      <c r="IJ232" s="179"/>
      <c r="IK232" s="179"/>
      <c r="IL232" s="179"/>
      <c r="IM232" s="179"/>
      <c r="IN232" s="179"/>
      <c r="IO232" s="179"/>
      <c r="IP232" s="179"/>
      <c r="IQ232" s="179"/>
      <c r="IR232" s="179"/>
      <c r="IS232" s="179"/>
    </row>
    <row r="233" spans="1:254">
      <c r="A233" s="218" t="s">
        <v>1123</v>
      </c>
      <c r="B233" s="464">
        <f>572029</f>
        <v>572029</v>
      </c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79"/>
      <c r="AT233" s="179"/>
      <c r="AU233" s="179"/>
      <c r="AV233" s="179"/>
      <c r="AW233" s="179"/>
      <c r="AX233" s="179"/>
      <c r="AY233" s="179"/>
      <c r="AZ233" s="179"/>
      <c r="BA233" s="179"/>
      <c r="BB233" s="179"/>
      <c r="BC233" s="179"/>
      <c r="BD233" s="179"/>
      <c r="BE233" s="179"/>
      <c r="BF233" s="179"/>
      <c r="BG233" s="179"/>
      <c r="BH233" s="179"/>
      <c r="BI233" s="179"/>
      <c r="BJ233" s="179"/>
      <c r="BK233" s="179"/>
      <c r="BL233" s="179"/>
      <c r="BM233" s="179"/>
      <c r="BN233" s="179"/>
      <c r="BO233" s="179"/>
      <c r="BP233" s="179"/>
      <c r="BQ233" s="179"/>
      <c r="BR233" s="179"/>
      <c r="BS233" s="179"/>
      <c r="BT233" s="179"/>
      <c r="BU233" s="179"/>
      <c r="BV233" s="179"/>
      <c r="BW233" s="179"/>
      <c r="BX233" s="179"/>
      <c r="BY233" s="179"/>
      <c r="BZ233" s="179"/>
      <c r="CA233" s="179"/>
      <c r="CB233" s="179"/>
      <c r="CC233" s="179"/>
      <c r="CD233" s="179"/>
      <c r="CE233" s="179"/>
      <c r="CF233" s="179"/>
      <c r="CG233" s="179"/>
      <c r="CH233" s="179"/>
      <c r="CI233" s="179"/>
      <c r="CJ233" s="179"/>
      <c r="CK233" s="179"/>
      <c r="CL233" s="179"/>
      <c r="CM233" s="179"/>
      <c r="CN233" s="179"/>
      <c r="CO233" s="179"/>
      <c r="CP233" s="179"/>
      <c r="CQ233" s="179"/>
      <c r="CR233" s="179"/>
      <c r="CS233" s="179"/>
      <c r="CT233" s="179"/>
      <c r="CU233" s="179"/>
      <c r="CV233" s="179"/>
      <c r="CW233" s="179"/>
      <c r="CX233" s="179"/>
      <c r="CY233" s="179"/>
      <c r="CZ233" s="179"/>
      <c r="DA233" s="179"/>
      <c r="DB233" s="179"/>
      <c r="DC233" s="179"/>
      <c r="DD233" s="179"/>
      <c r="DE233" s="179"/>
      <c r="DF233" s="179"/>
      <c r="DG233" s="179"/>
      <c r="DH233" s="179"/>
      <c r="DI233" s="179"/>
      <c r="DJ233" s="179"/>
      <c r="DK233" s="179"/>
      <c r="DL233" s="179"/>
      <c r="DM233" s="179"/>
      <c r="DN233" s="179"/>
      <c r="DO233" s="179"/>
      <c r="DP233" s="179"/>
      <c r="DQ233" s="179"/>
      <c r="DR233" s="179"/>
      <c r="DS233" s="179"/>
      <c r="DT233" s="179"/>
      <c r="DU233" s="179"/>
      <c r="DV233" s="179"/>
      <c r="DW233" s="179"/>
      <c r="DX233" s="179"/>
      <c r="DY233" s="179"/>
      <c r="DZ233" s="179"/>
      <c r="EA233" s="179"/>
      <c r="EB233" s="179"/>
      <c r="EC233" s="179"/>
      <c r="ED233" s="179"/>
      <c r="EE233" s="179"/>
      <c r="EF233" s="179"/>
      <c r="EG233" s="179"/>
      <c r="EH233" s="179"/>
      <c r="EI233" s="179"/>
      <c r="EJ233" s="179"/>
      <c r="EK233" s="179"/>
      <c r="EL233" s="179"/>
      <c r="EM233" s="179"/>
      <c r="EN233" s="179"/>
      <c r="EO233" s="179"/>
      <c r="EP233" s="179"/>
      <c r="EQ233" s="179"/>
      <c r="ER233" s="179"/>
      <c r="ES233" s="179"/>
      <c r="ET233" s="179"/>
      <c r="EU233" s="179"/>
      <c r="EV233" s="179"/>
      <c r="EW233" s="179"/>
      <c r="EX233" s="179"/>
      <c r="EY233" s="179"/>
      <c r="EZ233" s="179"/>
      <c r="FA233" s="179"/>
      <c r="FB233" s="179"/>
      <c r="FC233" s="179"/>
      <c r="FD233" s="179"/>
      <c r="FE233" s="179"/>
      <c r="FF233" s="179"/>
      <c r="FG233" s="179"/>
      <c r="FH233" s="179"/>
      <c r="FI233" s="179"/>
      <c r="FJ233" s="179"/>
      <c r="FK233" s="179"/>
      <c r="FL233" s="179"/>
      <c r="FM233" s="179"/>
      <c r="FN233" s="179"/>
      <c r="FO233" s="179"/>
      <c r="FP233" s="179"/>
      <c r="FQ233" s="179"/>
      <c r="FR233" s="179"/>
      <c r="FS233" s="179"/>
      <c r="FT233" s="179"/>
      <c r="FU233" s="179"/>
      <c r="FV233" s="179"/>
      <c r="FW233" s="179"/>
      <c r="FX233" s="179"/>
      <c r="FY233" s="179"/>
      <c r="FZ233" s="179"/>
      <c r="GA233" s="179"/>
      <c r="GB233" s="179"/>
      <c r="GC233" s="179"/>
      <c r="GD233" s="179"/>
      <c r="GE233" s="179"/>
      <c r="GF233" s="179"/>
      <c r="GG233" s="179"/>
      <c r="GH233" s="179"/>
      <c r="GI233" s="179"/>
      <c r="GJ233" s="179"/>
      <c r="GK233" s="179"/>
      <c r="GL233" s="179"/>
      <c r="GM233" s="179"/>
      <c r="GN233" s="179"/>
      <c r="GO233" s="179"/>
      <c r="GP233" s="179"/>
      <c r="GQ233" s="179"/>
      <c r="GR233" s="179"/>
      <c r="GS233" s="179"/>
      <c r="GT233" s="179"/>
      <c r="GU233" s="179"/>
      <c r="GV233" s="179"/>
      <c r="GW233" s="179"/>
      <c r="GX233" s="179"/>
      <c r="GY233" s="179"/>
      <c r="GZ233" s="179"/>
      <c r="HA233" s="179"/>
      <c r="HB233" s="179"/>
      <c r="HC233" s="179"/>
      <c r="HD233" s="179"/>
      <c r="HE233" s="179"/>
      <c r="HF233" s="179"/>
      <c r="HG233" s="179"/>
      <c r="HH233" s="179"/>
      <c r="HI233" s="179"/>
      <c r="HJ233" s="179"/>
      <c r="HK233" s="179"/>
      <c r="HL233" s="179"/>
      <c r="HM233" s="179"/>
      <c r="HN233" s="179"/>
      <c r="HO233" s="179"/>
      <c r="HP233" s="179"/>
      <c r="HQ233" s="179"/>
      <c r="HR233" s="179"/>
      <c r="HS233" s="179"/>
      <c r="HT233" s="179"/>
      <c r="HU233" s="179"/>
      <c r="HV233" s="179"/>
      <c r="HW233" s="179"/>
      <c r="HX233" s="179"/>
      <c r="HY233" s="179"/>
      <c r="HZ233" s="179"/>
      <c r="IA233" s="179"/>
      <c r="IB233" s="179"/>
      <c r="IC233" s="179"/>
      <c r="ID233" s="179"/>
      <c r="IE233" s="179"/>
      <c r="IF233" s="179"/>
      <c r="IG233" s="179"/>
      <c r="IH233" s="179"/>
      <c r="II233" s="179"/>
      <c r="IJ233" s="179"/>
      <c r="IK233" s="179"/>
      <c r="IL233" s="179"/>
      <c r="IM233" s="179"/>
      <c r="IN233" s="179"/>
      <c r="IO233" s="179"/>
      <c r="IP233" s="179"/>
      <c r="IQ233" s="179"/>
      <c r="IR233" s="179"/>
      <c r="IS233" s="179"/>
    </row>
    <row r="234" spans="1:254">
      <c r="A234" s="218" t="s">
        <v>1602</v>
      </c>
      <c r="B234" s="464">
        <f>15249.48+2095.2</f>
        <v>17344.68</v>
      </c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9"/>
      <c r="AU234" s="179"/>
      <c r="AV234" s="179"/>
      <c r="AW234" s="179"/>
      <c r="AX234" s="179"/>
      <c r="AY234" s="179"/>
      <c r="AZ234" s="179"/>
      <c r="BA234" s="179"/>
      <c r="BB234" s="179"/>
      <c r="BC234" s="179"/>
      <c r="BD234" s="179"/>
      <c r="BE234" s="179"/>
      <c r="BF234" s="179"/>
      <c r="BG234" s="179"/>
      <c r="BH234" s="179"/>
      <c r="BI234" s="179"/>
      <c r="BJ234" s="179"/>
      <c r="BK234" s="179"/>
      <c r="BL234" s="179"/>
      <c r="BM234" s="179"/>
      <c r="BN234" s="179"/>
      <c r="BO234" s="179"/>
      <c r="BP234" s="179"/>
      <c r="BQ234" s="179"/>
      <c r="BR234" s="179"/>
      <c r="BS234" s="179"/>
      <c r="BT234" s="179"/>
      <c r="BU234" s="179"/>
      <c r="BV234" s="179"/>
      <c r="BW234" s="179"/>
      <c r="BX234" s="179"/>
      <c r="BY234" s="179"/>
      <c r="BZ234" s="179"/>
      <c r="CA234" s="179"/>
      <c r="CB234" s="179"/>
      <c r="CC234" s="179"/>
      <c r="CD234" s="179"/>
      <c r="CE234" s="179"/>
      <c r="CF234" s="179"/>
      <c r="CG234" s="179"/>
      <c r="CH234" s="179"/>
      <c r="CI234" s="179"/>
      <c r="CJ234" s="179"/>
      <c r="CK234" s="179"/>
      <c r="CL234" s="179"/>
      <c r="CM234" s="179"/>
      <c r="CN234" s="179"/>
      <c r="CO234" s="179"/>
      <c r="CP234" s="179"/>
      <c r="CQ234" s="179"/>
      <c r="CR234" s="179"/>
      <c r="CS234" s="179"/>
      <c r="CT234" s="179"/>
      <c r="CU234" s="179"/>
      <c r="CV234" s="179"/>
      <c r="CW234" s="179"/>
      <c r="CX234" s="179"/>
      <c r="CY234" s="179"/>
      <c r="CZ234" s="179"/>
      <c r="DA234" s="179"/>
      <c r="DB234" s="179"/>
      <c r="DC234" s="179"/>
      <c r="DD234" s="179"/>
      <c r="DE234" s="179"/>
      <c r="DF234" s="179"/>
      <c r="DG234" s="179"/>
      <c r="DH234" s="179"/>
      <c r="DI234" s="179"/>
      <c r="DJ234" s="179"/>
      <c r="DK234" s="179"/>
      <c r="DL234" s="179"/>
      <c r="DM234" s="179"/>
      <c r="DN234" s="179"/>
      <c r="DO234" s="179"/>
      <c r="DP234" s="179"/>
      <c r="DQ234" s="179"/>
      <c r="DR234" s="179"/>
      <c r="DS234" s="179"/>
      <c r="DT234" s="179"/>
      <c r="DU234" s="179"/>
      <c r="DV234" s="179"/>
      <c r="DW234" s="179"/>
      <c r="DX234" s="179"/>
      <c r="DY234" s="179"/>
      <c r="DZ234" s="179"/>
      <c r="EA234" s="179"/>
      <c r="EB234" s="179"/>
      <c r="EC234" s="179"/>
      <c r="ED234" s="179"/>
      <c r="EE234" s="179"/>
      <c r="EF234" s="179"/>
      <c r="EG234" s="179"/>
      <c r="EH234" s="179"/>
      <c r="EI234" s="179"/>
      <c r="EJ234" s="179"/>
      <c r="EK234" s="179"/>
      <c r="EL234" s="179"/>
      <c r="EM234" s="179"/>
      <c r="EN234" s="179"/>
      <c r="EO234" s="179"/>
      <c r="EP234" s="179"/>
      <c r="EQ234" s="179"/>
      <c r="ER234" s="179"/>
      <c r="ES234" s="179"/>
      <c r="ET234" s="179"/>
      <c r="EU234" s="179"/>
      <c r="EV234" s="179"/>
      <c r="EW234" s="179"/>
      <c r="EX234" s="179"/>
      <c r="EY234" s="179"/>
      <c r="EZ234" s="179"/>
      <c r="FA234" s="179"/>
      <c r="FB234" s="179"/>
      <c r="FC234" s="179"/>
      <c r="FD234" s="179"/>
      <c r="FE234" s="179"/>
      <c r="FF234" s="179"/>
      <c r="FG234" s="179"/>
      <c r="FH234" s="179"/>
      <c r="FI234" s="179"/>
      <c r="FJ234" s="179"/>
      <c r="FK234" s="179"/>
      <c r="FL234" s="179"/>
      <c r="FM234" s="179"/>
      <c r="FN234" s="179"/>
      <c r="FO234" s="179"/>
      <c r="FP234" s="179"/>
      <c r="FQ234" s="179"/>
      <c r="FR234" s="179"/>
      <c r="FS234" s="179"/>
      <c r="FT234" s="179"/>
      <c r="FU234" s="179"/>
      <c r="FV234" s="179"/>
      <c r="FW234" s="179"/>
      <c r="FX234" s="179"/>
      <c r="FY234" s="179"/>
      <c r="FZ234" s="179"/>
      <c r="GA234" s="179"/>
      <c r="GB234" s="179"/>
      <c r="GC234" s="179"/>
      <c r="GD234" s="179"/>
      <c r="GE234" s="179"/>
      <c r="GF234" s="179"/>
      <c r="GG234" s="179"/>
      <c r="GH234" s="179"/>
      <c r="GI234" s="179"/>
      <c r="GJ234" s="179"/>
      <c r="GK234" s="179"/>
      <c r="GL234" s="179"/>
      <c r="GM234" s="179"/>
      <c r="GN234" s="179"/>
      <c r="GO234" s="179"/>
      <c r="GP234" s="179"/>
      <c r="GQ234" s="179"/>
      <c r="GR234" s="179"/>
      <c r="GS234" s="179"/>
      <c r="GT234" s="179"/>
      <c r="GU234" s="179"/>
      <c r="GV234" s="179"/>
      <c r="GW234" s="179"/>
      <c r="GX234" s="179"/>
      <c r="GY234" s="179"/>
      <c r="GZ234" s="179"/>
      <c r="HA234" s="179"/>
      <c r="HB234" s="179"/>
      <c r="HC234" s="179"/>
      <c r="HD234" s="179"/>
      <c r="HE234" s="179"/>
      <c r="HF234" s="179"/>
      <c r="HG234" s="179"/>
      <c r="HH234" s="179"/>
      <c r="HI234" s="179"/>
      <c r="HJ234" s="179"/>
      <c r="HK234" s="179"/>
      <c r="HL234" s="179"/>
      <c r="HM234" s="179"/>
      <c r="HN234" s="179"/>
      <c r="HO234" s="179"/>
      <c r="HP234" s="179"/>
      <c r="HQ234" s="179"/>
      <c r="HR234" s="179"/>
      <c r="HS234" s="179"/>
      <c r="HT234" s="179"/>
      <c r="HU234" s="179"/>
      <c r="HV234" s="179"/>
      <c r="HW234" s="179"/>
      <c r="HX234" s="179"/>
      <c r="HY234" s="179"/>
      <c r="HZ234" s="179"/>
      <c r="IA234" s="179"/>
      <c r="IB234" s="179"/>
      <c r="IC234" s="179"/>
      <c r="ID234" s="179"/>
      <c r="IE234" s="179"/>
      <c r="IF234" s="179"/>
      <c r="IG234" s="179"/>
      <c r="IH234" s="179"/>
      <c r="II234" s="179"/>
      <c r="IJ234" s="179"/>
      <c r="IK234" s="179"/>
      <c r="IL234" s="179"/>
      <c r="IM234" s="179"/>
      <c r="IN234" s="179"/>
      <c r="IO234" s="179"/>
      <c r="IP234" s="179"/>
      <c r="IQ234" s="179"/>
      <c r="IR234" s="179"/>
      <c r="IS234" s="179"/>
    </row>
    <row r="235" spans="1:254">
      <c r="A235" s="218" t="s">
        <v>1598</v>
      </c>
      <c r="B235" s="464">
        <f>B232+B233+B234-B236</f>
        <v>582723.01</v>
      </c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9"/>
      <c r="AV235" s="179"/>
      <c r="AW235" s="179"/>
      <c r="AX235" s="179"/>
      <c r="AY235" s="179"/>
      <c r="AZ235" s="179"/>
      <c r="BA235" s="179"/>
      <c r="BB235" s="179"/>
      <c r="BC235" s="179"/>
      <c r="BD235" s="179"/>
      <c r="BE235" s="179"/>
      <c r="BF235" s="179"/>
      <c r="BG235" s="179"/>
      <c r="BH235" s="179"/>
      <c r="BI235" s="179"/>
      <c r="BJ235" s="179"/>
      <c r="BK235" s="179"/>
      <c r="BL235" s="179"/>
      <c r="BM235" s="179"/>
      <c r="BN235" s="179"/>
      <c r="BO235" s="179"/>
      <c r="BP235" s="179"/>
      <c r="BQ235" s="179"/>
      <c r="BR235" s="179"/>
      <c r="BS235" s="179"/>
      <c r="BT235" s="179"/>
      <c r="BU235" s="179"/>
      <c r="BV235" s="179"/>
      <c r="BW235" s="179"/>
      <c r="BX235" s="179"/>
      <c r="BY235" s="179"/>
      <c r="BZ235" s="179"/>
      <c r="CA235" s="179"/>
      <c r="CB235" s="179"/>
      <c r="CC235" s="179"/>
      <c r="CD235" s="179"/>
      <c r="CE235" s="179"/>
      <c r="CF235" s="179"/>
      <c r="CG235" s="179"/>
      <c r="CH235" s="179"/>
      <c r="CI235" s="179"/>
      <c r="CJ235" s="179"/>
      <c r="CK235" s="179"/>
      <c r="CL235" s="179"/>
      <c r="CM235" s="179"/>
      <c r="CN235" s="179"/>
      <c r="CO235" s="179"/>
      <c r="CP235" s="179"/>
      <c r="CQ235" s="179"/>
      <c r="CR235" s="179"/>
      <c r="CS235" s="179"/>
      <c r="CT235" s="179"/>
      <c r="CU235" s="179"/>
      <c r="CV235" s="179"/>
      <c r="CW235" s="179"/>
      <c r="CX235" s="179"/>
      <c r="CY235" s="179"/>
      <c r="CZ235" s="179"/>
      <c r="DA235" s="179"/>
      <c r="DB235" s="179"/>
      <c r="DC235" s="179"/>
      <c r="DD235" s="179"/>
      <c r="DE235" s="179"/>
      <c r="DF235" s="179"/>
      <c r="DG235" s="179"/>
      <c r="DH235" s="179"/>
      <c r="DI235" s="179"/>
      <c r="DJ235" s="179"/>
      <c r="DK235" s="179"/>
      <c r="DL235" s="179"/>
      <c r="DM235" s="179"/>
      <c r="DN235" s="179"/>
      <c r="DO235" s="179"/>
      <c r="DP235" s="179"/>
      <c r="DQ235" s="179"/>
      <c r="DR235" s="179"/>
      <c r="DS235" s="179"/>
      <c r="DT235" s="179"/>
      <c r="DU235" s="179"/>
      <c r="DV235" s="179"/>
      <c r="DW235" s="179"/>
      <c r="DX235" s="179"/>
      <c r="DY235" s="179"/>
      <c r="DZ235" s="179"/>
      <c r="EA235" s="179"/>
      <c r="EB235" s="179"/>
      <c r="EC235" s="179"/>
      <c r="ED235" s="179"/>
      <c r="EE235" s="179"/>
      <c r="EF235" s="179"/>
      <c r="EG235" s="179"/>
      <c r="EH235" s="179"/>
      <c r="EI235" s="179"/>
      <c r="EJ235" s="179"/>
      <c r="EK235" s="179"/>
      <c r="EL235" s="179"/>
      <c r="EM235" s="179"/>
      <c r="EN235" s="179"/>
      <c r="EO235" s="179"/>
      <c r="EP235" s="179"/>
      <c r="EQ235" s="179"/>
      <c r="ER235" s="179"/>
      <c r="ES235" s="179"/>
      <c r="ET235" s="179"/>
      <c r="EU235" s="179"/>
      <c r="EV235" s="179"/>
      <c r="EW235" s="179"/>
      <c r="EX235" s="179"/>
      <c r="EY235" s="179"/>
      <c r="EZ235" s="179"/>
      <c r="FA235" s="179"/>
      <c r="FB235" s="179"/>
      <c r="FC235" s="179"/>
      <c r="FD235" s="179"/>
      <c r="FE235" s="179"/>
      <c r="FF235" s="179"/>
      <c r="FG235" s="179"/>
      <c r="FH235" s="179"/>
      <c r="FI235" s="179"/>
      <c r="FJ235" s="179"/>
      <c r="FK235" s="179"/>
      <c r="FL235" s="179"/>
      <c r="FM235" s="179"/>
      <c r="FN235" s="179"/>
      <c r="FO235" s="179"/>
      <c r="FP235" s="179"/>
      <c r="FQ235" s="179"/>
      <c r="FR235" s="179"/>
      <c r="FS235" s="179"/>
      <c r="FT235" s="179"/>
      <c r="FU235" s="179"/>
      <c r="FV235" s="179"/>
      <c r="FW235" s="179"/>
      <c r="FX235" s="179"/>
      <c r="FY235" s="179"/>
      <c r="FZ235" s="179"/>
      <c r="GA235" s="179"/>
      <c r="GB235" s="179"/>
      <c r="GC235" s="179"/>
      <c r="GD235" s="179"/>
      <c r="GE235" s="179"/>
      <c r="GF235" s="179"/>
      <c r="GG235" s="179"/>
      <c r="GH235" s="179"/>
      <c r="GI235" s="179"/>
      <c r="GJ235" s="179"/>
      <c r="GK235" s="179"/>
      <c r="GL235" s="179"/>
      <c r="GM235" s="179"/>
      <c r="GN235" s="179"/>
      <c r="GO235" s="179"/>
      <c r="GP235" s="179"/>
      <c r="GQ235" s="179"/>
      <c r="GR235" s="179"/>
      <c r="GS235" s="179"/>
      <c r="GT235" s="179"/>
      <c r="GU235" s="179"/>
      <c r="GV235" s="179"/>
      <c r="GW235" s="179"/>
      <c r="GX235" s="179"/>
      <c r="GY235" s="179"/>
      <c r="GZ235" s="179"/>
      <c r="HA235" s="179"/>
      <c r="HB235" s="179"/>
      <c r="HC235" s="179"/>
      <c r="HD235" s="179"/>
      <c r="HE235" s="179"/>
      <c r="HF235" s="179"/>
      <c r="HG235" s="179"/>
      <c r="HH235" s="179"/>
      <c r="HI235" s="179"/>
      <c r="HJ235" s="179"/>
      <c r="HK235" s="179"/>
      <c r="HL235" s="179"/>
      <c r="HM235" s="179"/>
      <c r="HN235" s="179"/>
      <c r="HO235" s="179"/>
      <c r="HP235" s="179"/>
      <c r="HQ235" s="179"/>
      <c r="HR235" s="179"/>
      <c r="HS235" s="179"/>
      <c r="HT235" s="179"/>
      <c r="HU235" s="179"/>
      <c r="HV235" s="179"/>
      <c r="HW235" s="179"/>
      <c r="HX235" s="179"/>
      <c r="HY235" s="179"/>
      <c r="HZ235" s="179"/>
      <c r="IA235" s="179"/>
      <c r="IB235" s="179"/>
      <c r="IC235" s="179"/>
      <c r="ID235" s="179"/>
      <c r="IE235" s="179"/>
      <c r="IF235" s="179"/>
      <c r="IG235" s="179"/>
      <c r="IH235" s="179"/>
      <c r="II235" s="179"/>
      <c r="IJ235" s="179"/>
      <c r="IK235" s="179"/>
      <c r="IL235" s="179"/>
      <c r="IM235" s="179"/>
      <c r="IN235" s="179"/>
      <c r="IO235" s="179"/>
      <c r="IP235" s="179"/>
      <c r="IQ235" s="179"/>
      <c r="IR235" s="179"/>
      <c r="IS235" s="179"/>
    </row>
    <row r="236" spans="1:254">
      <c r="A236" s="218" t="s">
        <v>1597</v>
      </c>
      <c r="B236" s="464">
        <v>141532.1</v>
      </c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79"/>
      <c r="AV236" s="179"/>
      <c r="AW236" s="179"/>
      <c r="AX236" s="179"/>
      <c r="AY236" s="179"/>
      <c r="AZ236" s="179"/>
      <c r="BA236" s="179"/>
      <c r="BB236" s="179"/>
      <c r="BC236" s="179"/>
      <c r="BD236" s="179"/>
      <c r="BE236" s="179"/>
      <c r="BF236" s="179"/>
      <c r="BG236" s="179"/>
      <c r="BH236" s="179"/>
      <c r="BI236" s="179"/>
      <c r="BJ236" s="179"/>
      <c r="BK236" s="179"/>
      <c r="BL236" s="179"/>
      <c r="BM236" s="179"/>
      <c r="BN236" s="179"/>
      <c r="BO236" s="179"/>
      <c r="BP236" s="179"/>
      <c r="BQ236" s="179"/>
      <c r="BR236" s="179"/>
      <c r="BS236" s="179"/>
      <c r="BT236" s="179"/>
      <c r="BU236" s="179"/>
      <c r="BV236" s="179"/>
      <c r="BW236" s="179"/>
      <c r="BX236" s="179"/>
      <c r="BY236" s="179"/>
      <c r="BZ236" s="179"/>
      <c r="CA236" s="179"/>
      <c r="CB236" s="179"/>
      <c r="CC236" s="179"/>
      <c r="CD236" s="179"/>
      <c r="CE236" s="179"/>
      <c r="CF236" s="179"/>
      <c r="CG236" s="179"/>
      <c r="CH236" s="179"/>
      <c r="CI236" s="179"/>
      <c r="CJ236" s="179"/>
      <c r="CK236" s="179"/>
      <c r="CL236" s="179"/>
      <c r="CM236" s="179"/>
      <c r="CN236" s="179"/>
      <c r="CO236" s="179"/>
      <c r="CP236" s="179"/>
      <c r="CQ236" s="179"/>
      <c r="CR236" s="179"/>
      <c r="CS236" s="179"/>
      <c r="CT236" s="179"/>
      <c r="CU236" s="179"/>
      <c r="CV236" s="179"/>
      <c r="CW236" s="179"/>
      <c r="CX236" s="179"/>
      <c r="CY236" s="179"/>
      <c r="CZ236" s="179"/>
      <c r="DA236" s="179"/>
      <c r="DB236" s="179"/>
      <c r="DC236" s="179"/>
      <c r="DD236" s="179"/>
      <c r="DE236" s="179"/>
      <c r="DF236" s="179"/>
      <c r="DG236" s="179"/>
      <c r="DH236" s="179"/>
      <c r="DI236" s="179"/>
      <c r="DJ236" s="179"/>
      <c r="DK236" s="179"/>
      <c r="DL236" s="179"/>
      <c r="DM236" s="179"/>
      <c r="DN236" s="179"/>
      <c r="DO236" s="179"/>
      <c r="DP236" s="179"/>
      <c r="DQ236" s="179"/>
      <c r="DR236" s="179"/>
      <c r="DS236" s="179"/>
      <c r="DT236" s="179"/>
      <c r="DU236" s="179"/>
      <c r="DV236" s="179"/>
      <c r="DW236" s="179"/>
      <c r="DX236" s="179"/>
      <c r="DY236" s="179"/>
      <c r="DZ236" s="179"/>
      <c r="EA236" s="179"/>
      <c r="EB236" s="179"/>
      <c r="EC236" s="179"/>
      <c r="ED236" s="179"/>
      <c r="EE236" s="179"/>
      <c r="EF236" s="179"/>
      <c r="EG236" s="179"/>
      <c r="EH236" s="179"/>
      <c r="EI236" s="179"/>
      <c r="EJ236" s="179"/>
      <c r="EK236" s="179"/>
      <c r="EL236" s="179"/>
      <c r="EM236" s="179"/>
      <c r="EN236" s="179"/>
      <c r="EO236" s="179"/>
      <c r="EP236" s="179"/>
      <c r="EQ236" s="179"/>
      <c r="ER236" s="179"/>
      <c r="ES236" s="179"/>
      <c r="ET236" s="179"/>
      <c r="EU236" s="179"/>
      <c r="EV236" s="179"/>
      <c r="EW236" s="179"/>
      <c r="EX236" s="179"/>
      <c r="EY236" s="179"/>
      <c r="EZ236" s="179"/>
      <c r="FA236" s="179"/>
      <c r="FB236" s="179"/>
      <c r="FC236" s="179"/>
      <c r="FD236" s="179"/>
      <c r="FE236" s="179"/>
      <c r="FF236" s="179"/>
      <c r="FG236" s="179"/>
      <c r="FH236" s="179"/>
      <c r="FI236" s="179"/>
      <c r="FJ236" s="179"/>
      <c r="FK236" s="179"/>
      <c r="FL236" s="179"/>
      <c r="FM236" s="179"/>
      <c r="FN236" s="179"/>
      <c r="FO236" s="179"/>
      <c r="FP236" s="179"/>
      <c r="FQ236" s="179"/>
      <c r="FR236" s="179"/>
      <c r="FS236" s="179"/>
      <c r="FT236" s="179"/>
      <c r="FU236" s="179"/>
      <c r="FV236" s="179"/>
      <c r="FW236" s="179"/>
      <c r="FX236" s="179"/>
      <c r="FY236" s="179"/>
      <c r="FZ236" s="179"/>
      <c r="GA236" s="179"/>
      <c r="GB236" s="179"/>
      <c r="GC236" s="179"/>
      <c r="GD236" s="179"/>
      <c r="GE236" s="179"/>
      <c r="GF236" s="179"/>
      <c r="GG236" s="179"/>
      <c r="GH236" s="179"/>
      <c r="GI236" s="179"/>
      <c r="GJ236" s="179"/>
      <c r="GK236" s="179"/>
      <c r="GL236" s="179"/>
      <c r="GM236" s="179"/>
      <c r="GN236" s="179"/>
      <c r="GO236" s="179"/>
      <c r="GP236" s="179"/>
      <c r="GQ236" s="179"/>
      <c r="GR236" s="179"/>
      <c r="GS236" s="179"/>
      <c r="GT236" s="179"/>
      <c r="GU236" s="179"/>
      <c r="GV236" s="179"/>
      <c r="GW236" s="179"/>
      <c r="GX236" s="179"/>
      <c r="GY236" s="179"/>
      <c r="GZ236" s="179"/>
      <c r="HA236" s="179"/>
      <c r="HB236" s="179"/>
      <c r="HC236" s="179"/>
      <c r="HD236" s="179"/>
      <c r="HE236" s="179"/>
      <c r="HF236" s="179"/>
      <c r="HG236" s="179"/>
      <c r="HH236" s="179"/>
      <c r="HI236" s="179"/>
      <c r="HJ236" s="179"/>
      <c r="HK236" s="179"/>
      <c r="HL236" s="179"/>
      <c r="HM236" s="179"/>
      <c r="HN236" s="179"/>
      <c r="HO236" s="179"/>
      <c r="HP236" s="179"/>
      <c r="HQ236" s="179"/>
      <c r="HR236" s="179"/>
      <c r="HS236" s="179"/>
      <c r="HT236" s="179"/>
      <c r="HU236" s="179"/>
      <c r="HV236" s="179"/>
      <c r="HW236" s="179"/>
      <c r="HX236" s="179"/>
      <c r="HY236" s="179"/>
      <c r="HZ236" s="179"/>
      <c r="IA236" s="179"/>
      <c r="IB236" s="179"/>
      <c r="IC236" s="179"/>
      <c r="ID236" s="179"/>
      <c r="IE236" s="179"/>
      <c r="IF236" s="179"/>
      <c r="IG236" s="179"/>
      <c r="IH236" s="179"/>
      <c r="II236" s="179"/>
      <c r="IJ236" s="179"/>
      <c r="IK236" s="179"/>
      <c r="IL236" s="179"/>
      <c r="IM236" s="179"/>
      <c r="IN236" s="179"/>
      <c r="IO236" s="179"/>
      <c r="IP236" s="179"/>
      <c r="IQ236" s="179"/>
      <c r="IR236" s="179"/>
      <c r="IS236" s="179"/>
    </row>
    <row r="237" spans="1:254" ht="29.25" customHeight="1">
      <c r="A237" s="216" t="s">
        <v>2025</v>
      </c>
      <c r="B237" s="196">
        <f>B235</f>
        <v>582723.01</v>
      </c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179"/>
      <c r="AG237" s="179"/>
      <c r="AH237" s="179"/>
      <c r="AI237" s="179"/>
      <c r="AJ237" s="179"/>
      <c r="AK237" s="179"/>
      <c r="AL237" s="179"/>
      <c r="AM237" s="179"/>
      <c r="AN237" s="179"/>
      <c r="AO237" s="179"/>
      <c r="AP237" s="179"/>
      <c r="AQ237" s="179"/>
      <c r="AR237" s="179"/>
      <c r="AS237" s="179"/>
      <c r="AT237" s="179"/>
      <c r="AU237" s="179"/>
      <c r="AV237" s="179"/>
      <c r="AW237" s="179"/>
      <c r="AX237" s="179"/>
      <c r="AY237" s="179"/>
      <c r="AZ237" s="179"/>
      <c r="BA237" s="179"/>
      <c r="BB237" s="179"/>
      <c r="BC237" s="179"/>
      <c r="BD237" s="179"/>
      <c r="BE237" s="179"/>
      <c r="BF237" s="179"/>
      <c r="BG237" s="179"/>
      <c r="BH237" s="179"/>
      <c r="BI237" s="179"/>
      <c r="BJ237" s="179"/>
      <c r="BK237" s="179"/>
      <c r="BL237" s="179"/>
      <c r="BM237" s="179"/>
      <c r="BN237" s="179"/>
      <c r="BO237" s="179"/>
      <c r="BP237" s="179"/>
      <c r="BQ237" s="179"/>
      <c r="BR237" s="179"/>
      <c r="BS237" s="179"/>
      <c r="BT237" s="179"/>
      <c r="BU237" s="179"/>
      <c r="BV237" s="179"/>
      <c r="BW237" s="179"/>
      <c r="BX237" s="179"/>
      <c r="BY237" s="179"/>
      <c r="BZ237" s="179"/>
      <c r="CA237" s="179"/>
      <c r="CB237" s="179"/>
      <c r="CC237" s="179"/>
      <c r="CD237" s="179"/>
      <c r="CE237" s="179"/>
      <c r="CF237" s="179"/>
      <c r="CG237" s="179"/>
      <c r="CH237" s="179"/>
      <c r="CI237" s="179"/>
      <c r="CJ237" s="179"/>
      <c r="CK237" s="179"/>
      <c r="CL237" s="179"/>
      <c r="CM237" s="179"/>
      <c r="CN237" s="179"/>
      <c r="CO237" s="179"/>
      <c r="CP237" s="179"/>
      <c r="CQ237" s="179"/>
      <c r="CR237" s="179"/>
      <c r="CS237" s="179"/>
      <c r="CT237" s="179"/>
      <c r="CU237" s="179"/>
      <c r="CV237" s="179"/>
      <c r="CW237" s="179"/>
      <c r="CX237" s="179"/>
      <c r="CY237" s="179"/>
      <c r="CZ237" s="179"/>
      <c r="DA237" s="179"/>
      <c r="DB237" s="179"/>
      <c r="DC237" s="179"/>
      <c r="DD237" s="179"/>
      <c r="DE237" s="179"/>
      <c r="DF237" s="179"/>
      <c r="DG237" s="179"/>
      <c r="DH237" s="179"/>
      <c r="DI237" s="179"/>
      <c r="DJ237" s="179"/>
      <c r="DK237" s="179"/>
      <c r="DL237" s="179"/>
      <c r="DM237" s="179"/>
      <c r="DN237" s="179"/>
      <c r="DO237" s="179"/>
      <c r="DP237" s="179"/>
      <c r="DQ237" s="179"/>
      <c r="DR237" s="179"/>
      <c r="DS237" s="179"/>
      <c r="DT237" s="179"/>
      <c r="DU237" s="179"/>
      <c r="DV237" s="179"/>
      <c r="DW237" s="179"/>
      <c r="DX237" s="179"/>
      <c r="DY237" s="179"/>
      <c r="DZ237" s="179"/>
      <c r="EA237" s="179"/>
      <c r="EB237" s="179"/>
      <c r="EC237" s="179"/>
      <c r="ED237" s="179"/>
      <c r="EE237" s="179"/>
      <c r="EF237" s="179"/>
      <c r="EG237" s="179"/>
      <c r="EH237" s="179"/>
      <c r="EI237" s="179"/>
      <c r="EJ237" s="179"/>
      <c r="EK237" s="179"/>
      <c r="EL237" s="179"/>
      <c r="EM237" s="179"/>
      <c r="EN237" s="179"/>
      <c r="EO237" s="179"/>
      <c r="EP237" s="179"/>
      <c r="EQ237" s="179"/>
      <c r="ER237" s="179"/>
      <c r="ES237" s="179"/>
      <c r="ET237" s="179"/>
      <c r="EU237" s="179"/>
      <c r="EV237" s="179"/>
      <c r="EW237" s="179"/>
      <c r="EX237" s="179"/>
      <c r="EY237" s="179"/>
      <c r="EZ237" s="179"/>
      <c r="FA237" s="179"/>
      <c r="FB237" s="179"/>
      <c r="FC237" s="179"/>
      <c r="FD237" s="179"/>
      <c r="FE237" s="179"/>
      <c r="FF237" s="179"/>
      <c r="FG237" s="179"/>
      <c r="FH237" s="179"/>
      <c r="FI237" s="179"/>
      <c r="FJ237" s="179"/>
      <c r="FK237" s="179"/>
      <c r="FL237" s="179"/>
      <c r="FM237" s="179"/>
      <c r="FN237" s="179"/>
      <c r="FO237" s="179"/>
      <c r="FP237" s="179"/>
      <c r="FQ237" s="179"/>
      <c r="FR237" s="179"/>
      <c r="FS237" s="179"/>
      <c r="FT237" s="179"/>
      <c r="FU237" s="179"/>
      <c r="FV237" s="179"/>
      <c r="FW237" s="179"/>
      <c r="FX237" s="179"/>
      <c r="FY237" s="179"/>
      <c r="FZ237" s="179"/>
      <c r="GA237" s="179"/>
      <c r="GB237" s="179"/>
      <c r="GC237" s="179"/>
      <c r="GD237" s="179"/>
      <c r="GE237" s="179"/>
      <c r="GF237" s="179"/>
      <c r="GG237" s="179"/>
      <c r="GH237" s="179"/>
      <c r="GI237" s="179"/>
      <c r="GJ237" s="179"/>
      <c r="GK237" s="179"/>
      <c r="GL237" s="179"/>
      <c r="GM237" s="179"/>
      <c r="GN237" s="179"/>
      <c r="GO237" s="179"/>
      <c r="GP237" s="179"/>
      <c r="GQ237" s="179"/>
      <c r="GR237" s="179"/>
      <c r="GS237" s="179"/>
      <c r="GT237" s="179"/>
      <c r="GU237" s="179"/>
      <c r="GV237" s="179"/>
      <c r="GW237" s="179"/>
      <c r="GX237" s="179"/>
      <c r="GY237" s="179"/>
      <c r="GZ237" s="179"/>
      <c r="HA237" s="179"/>
      <c r="HB237" s="179"/>
      <c r="HC237" s="179"/>
      <c r="HD237" s="179"/>
      <c r="HE237" s="179"/>
      <c r="HF237" s="179"/>
      <c r="HG237" s="179"/>
      <c r="HH237" s="179"/>
      <c r="HI237" s="179"/>
      <c r="HJ237" s="179"/>
      <c r="HK237" s="179"/>
      <c r="HL237" s="179"/>
      <c r="HM237" s="179"/>
      <c r="HN237" s="179"/>
      <c r="HO237" s="179"/>
      <c r="HP237" s="179"/>
      <c r="HQ237" s="179"/>
      <c r="HR237" s="179"/>
      <c r="HS237" s="179"/>
      <c r="HT237" s="179"/>
      <c r="HU237" s="179"/>
      <c r="HV237" s="179"/>
      <c r="HW237" s="179"/>
      <c r="HX237" s="179"/>
      <c r="HY237" s="179"/>
      <c r="HZ237" s="179"/>
      <c r="IA237" s="179"/>
      <c r="IB237" s="179"/>
      <c r="IC237" s="179"/>
      <c r="ID237" s="179"/>
      <c r="IE237" s="179"/>
      <c r="IF237" s="179"/>
      <c r="IG237" s="179"/>
      <c r="IH237" s="179"/>
      <c r="II237" s="179"/>
      <c r="IJ237" s="179"/>
      <c r="IK237" s="179"/>
      <c r="IL237" s="179"/>
      <c r="IM237" s="179"/>
      <c r="IN237" s="179"/>
      <c r="IO237" s="179"/>
      <c r="IP237" s="179"/>
      <c r="IQ237" s="179"/>
      <c r="IR237" s="179"/>
      <c r="IS237" s="179"/>
    </row>
    <row r="238" spans="1:254">
      <c r="A238" s="179"/>
      <c r="B238" s="213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79"/>
      <c r="AI238" s="179"/>
      <c r="AJ238" s="179"/>
      <c r="AK238" s="179"/>
      <c r="AL238" s="179"/>
      <c r="AM238" s="179"/>
      <c r="AN238" s="179"/>
      <c r="AO238" s="179"/>
      <c r="AP238" s="179"/>
      <c r="AQ238" s="179"/>
      <c r="AR238" s="179"/>
      <c r="AS238" s="179"/>
      <c r="AT238" s="179"/>
      <c r="AU238" s="179"/>
      <c r="AV238" s="179"/>
      <c r="AW238" s="179"/>
      <c r="AX238" s="179"/>
      <c r="AY238" s="179"/>
      <c r="AZ238" s="179"/>
      <c r="BA238" s="179"/>
      <c r="BB238" s="179"/>
      <c r="BC238" s="179"/>
      <c r="BD238" s="179"/>
      <c r="BE238" s="179"/>
      <c r="BF238" s="179"/>
      <c r="BG238" s="179"/>
      <c r="BH238" s="179"/>
      <c r="BI238" s="179"/>
      <c r="BJ238" s="179"/>
      <c r="BK238" s="179"/>
      <c r="BL238" s="179"/>
      <c r="BM238" s="179"/>
      <c r="BN238" s="179"/>
      <c r="BO238" s="179"/>
      <c r="BP238" s="179"/>
      <c r="BQ238" s="179"/>
      <c r="BR238" s="179"/>
      <c r="BS238" s="179"/>
      <c r="BT238" s="179"/>
      <c r="BU238" s="179"/>
      <c r="BV238" s="179"/>
      <c r="BW238" s="179"/>
      <c r="BX238" s="179"/>
      <c r="BY238" s="179"/>
      <c r="BZ238" s="179"/>
      <c r="CA238" s="179"/>
      <c r="CB238" s="179"/>
      <c r="CC238" s="179"/>
      <c r="CD238" s="179"/>
      <c r="CE238" s="179"/>
      <c r="CF238" s="179"/>
      <c r="CG238" s="179"/>
      <c r="CH238" s="179"/>
      <c r="CI238" s="179"/>
      <c r="CJ238" s="179"/>
      <c r="CK238" s="179"/>
      <c r="CL238" s="179"/>
      <c r="CM238" s="179"/>
      <c r="CN238" s="179"/>
      <c r="CO238" s="179"/>
      <c r="CP238" s="179"/>
      <c r="CQ238" s="179"/>
      <c r="CR238" s="179"/>
      <c r="CS238" s="179"/>
      <c r="CT238" s="179"/>
      <c r="CU238" s="179"/>
      <c r="CV238" s="179"/>
      <c r="CW238" s="179"/>
      <c r="CX238" s="179"/>
      <c r="CY238" s="179"/>
      <c r="CZ238" s="179"/>
      <c r="DA238" s="179"/>
      <c r="DB238" s="179"/>
      <c r="DC238" s="179"/>
      <c r="DD238" s="179"/>
      <c r="DE238" s="179"/>
      <c r="DF238" s="179"/>
      <c r="DG238" s="179"/>
      <c r="DH238" s="179"/>
      <c r="DI238" s="179"/>
      <c r="DJ238" s="179"/>
      <c r="DK238" s="179"/>
      <c r="DL238" s="179"/>
      <c r="DM238" s="179"/>
      <c r="DN238" s="179"/>
      <c r="DO238" s="179"/>
      <c r="DP238" s="179"/>
      <c r="DQ238" s="179"/>
      <c r="DR238" s="179"/>
      <c r="DS238" s="179"/>
      <c r="DT238" s="179"/>
      <c r="DU238" s="179"/>
      <c r="DV238" s="179"/>
      <c r="DW238" s="179"/>
      <c r="DX238" s="179"/>
      <c r="DY238" s="179"/>
      <c r="DZ238" s="179"/>
      <c r="EA238" s="179"/>
      <c r="EB238" s="179"/>
      <c r="EC238" s="179"/>
      <c r="ED238" s="179"/>
      <c r="EE238" s="179"/>
      <c r="EF238" s="179"/>
      <c r="EG238" s="179"/>
      <c r="EH238" s="179"/>
      <c r="EI238" s="179"/>
      <c r="EJ238" s="179"/>
      <c r="EK238" s="179"/>
      <c r="EL238" s="179"/>
      <c r="EM238" s="179"/>
      <c r="EN238" s="179"/>
      <c r="EO238" s="179"/>
      <c r="EP238" s="179"/>
      <c r="EQ238" s="179"/>
      <c r="ER238" s="179"/>
      <c r="ES238" s="179"/>
      <c r="ET238" s="179"/>
      <c r="EU238" s="179"/>
      <c r="EV238" s="179"/>
      <c r="EW238" s="179"/>
      <c r="EX238" s="179"/>
      <c r="EY238" s="179"/>
      <c r="EZ238" s="179"/>
      <c r="FA238" s="179"/>
      <c r="FB238" s="179"/>
      <c r="FC238" s="179"/>
      <c r="FD238" s="179"/>
      <c r="FE238" s="179"/>
      <c r="FF238" s="179"/>
      <c r="FG238" s="179"/>
      <c r="FH238" s="179"/>
      <c r="FI238" s="179"/>
      <c r="FJ238" s="179"/>
      <c r="FK238" s="179"/>
      <c r="FL238" s="179"/>
      <c r="FM238" s="179"/>
      <c r="FN238" s="179"/>
      <c r="FO238" s="179"/>
      <c r="FP238" s="179"/>
      <c r="FQ238" s="179"/>
      <c r="FR238" s="179"/>
      <c r="FS238" s="179"/>
      <c r="FT238" s="179"/>
      <c r="FU238" s="179"/>
      <c r="FV238" s="179"/>
      <c r="FW238" s="179"/>
      <c r="FX238" s="179"/>
      <c r="FY238" s="179"/>
      <c r="FZ238" s="179"/>
      <c r="GA238" s="179"/>
      <c r="GB238" s="179"/>
      <c r="GC238" s="179"/>
      <c r="GD238" s="179"/>
      <c r="GE238" s="179"/>
      <c r="GF238" s="179"/>
      <c r="GG238" s="179"/>
      <c r="GH238" s="179"/>
      <c r="GI238" s="179"/>
      <c r="GJ238" s="179"/>
      <c r="GK238" s="179"/>
      <c r="GL238" s="179"/>
      <c r="GM238" s="179"/>
      <c r="GN238" s="179"/>
      <c r="GO238" s="179"/>
      <c r="GP238" s="179"/>
      <c r="GQ238" s="179"/>
      <c r="GR238" s="179"/>
      <c r="GS238" s="179"/>
      <c r="GT238" s="179"/>
      <c r="GU238" s="179"/>
      <c r="GV238" s="179"/>
      <c r="GW238" s="179"/>
      <c r="GX238" s="179"/>
      <c r="GY238" s="179"/>
      <c r="GZ238" s="179"/>
      <c r="HA238" s="179"/>
      <c r="HB238" s="179"/>
      <c r="HC238" s="179"/>
      <c r="HD238" s="179"/>
      <c r="HE238" s="179"/>
      <c r="HF238" s="179"/>
      <c r="HG238" s="179"/>
      <c r="HH238" s="179"/>
      <c r="HI238" s="179"/>
      <c r="HJ238" s="179"/>
      <c r="HK238" s="179"/>
      <c r="HL238" s="179"/>
      <c r="HM238" s="179"/>
      <c r="HN238" s="179"/>
      <c r="HO238" s="179"/>
      <c r="HP238" s="179"/>
      <c r="HQ238" s="179"/>
      <c r="HR238" s="179"/>
      <c r="HS238" s="179"/>
      <c r="HT238" s="179"/>
      <c r="HU238" s="179"/>
      <c r="HV238" s="179"/>
      <c r="HW238" s="179"/>
      <c r="HX238" s="179"/>
      <c r="HY238" s="179"/>
      <c r="HZ238" s="179"/>
      <c r="IA238" s="179"/>
      <c r="IB238" s="179"/>
      <c r="IC238" s="179"/>
      <c r="ID238" s="179"/>
      <c r="IE238" s="179"/>
      <c r="IF238" s="179"/>
      <c r="IG238" s="179"/>
      <c r="IH238" s="179"/>
      <c r="II238" s="179"/>
      <c r="IJ238" s="179"/>
      <c r="IK238" s="179"/>
      <c r="IL238" s="179"/>
      <c r="IM238" s="179"/>
      <c r="IN238" s="179"/>
      <c r="IO238" s="179"/>
      <c r="IP238" s="179"/>
      <c r="IQ238" s="179"/>
      <c r="IR238" s="179"/>
      <c r="IS238" s="179"/>
    </row>
    <row r="239" spans="1:254">
      <c r="A239" s="324" t="s">
        <v>1600</v>
      </c>
      <c r="B239" s="198">
        <f>B241+B243+B244+B245+B247+B249+B248+B242+B250</f>
        <v>605842.14718838374</v>
      </c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79"/>
      <c r="AT239" s="179"/>
      <c r="AU239" s="179"/>
      <c r="AV239" s="179"/>
      <c r="AW239" s="179"/>
      <c r="AX239" s="179"/>
      <c r="AY239" s="179"/>
      <c r="AZ239" s="179"/>
      <c r="BA239" s="179"/>
      <c r="BB239" s="179"/>
      <c r="BC239" s="179"/>
      <c r="BD239" s="179"/>
      <c r="BE239" s="179"/>
      <c r="BF239" s="179"/>
      <c r="BG239" s="179"/>
      <c r="BH239" s="179"/>
      <c r="BI239" s="179"/>
      <c r="BJ239" s="179"/>
      <c r="BK239" s="179"/>
      <c r="BL239" s="179"/>
      <c r="BM239" s="179"/>
      <c r="BN239" s="179"/>
      <c r="BO239" s="179"/>
      <c r="BP239" s="179"/>
      <c r="BQ239" s="179"/>
      <c r="BR239" s="179"/>
      <c r="BS239" s="179"/>
      <c r="BT239" s="179"/>
      <c r="BU239" s="179"/>
      <c r="BV239" s="179"/>
      <c r="BW239" s="179"/>
      <c r="BX239" s="179"/>
      <c r="BY239" s="179"/>
      <c r="BZ239" s="179"/>
      <c r="CA239" s="179"/>
      <c r="CB239" s="179"/>
      <c r="CC239" s="179"/>
      <c r="CD239" s="179"/>
      <c r="CE239" s="179"/>
      <c r="CF239" s="179"/>
      <c r="CG239" s="179"/>
      <c r="CH239" s="179"/>
      <c r="CI239" s="179"/>
      <c r="CJ239" s="179"/>
      <c r="CK239" s="179"/>
      <c r="CL239" s="179"/>
      <c r="CM239" s="179"/>
      <c r="CN239" s="179"/>
      <c r="CO239" s="179"/>
      <c r="CP239" s="179"/>
      <c r="CQ239" s="179"/>
      <c r="CR239" s="179"/>
      <c r="CS239" s="179"/>
      <c r="CT239" s="179"/>
      <c r="CU239" s="179"/>
      <c r="CV239" s="179"/>
      <c r="CW239" s="179"/>
      <c r="CX239" s="179"/>
      <c r="CY239" s="179"/>
      <c r="CZ239" s="179"/>
      <c r="DA239" s="179"/>
      <c r="DB239" s="179"/>
      <c r="DC239" s="179"/>
      <c r="DD239" s="179"/>
      <c r="DE239" s="179"/>
      <c r="DF239" s="179"/>
      <c r="DG239" s="179"/>
      <c r="DH239" s="179"/>
      <c r="DI239" s="179"/>
      <c r="DJ239" s="179"/>
      <c r="DK239" s="179"/>
      <c r="DL239" s="179"/>
      <c r="DM239" s="179"/>
      <c r="DN239" s="179"/>
      <c r="DO239" s="179"/>
      <c r="DP239" s="179"/>
      <c r="DQ239" s="179"/>
      <c r="DR239" s="179"/>
      <c r="DS239" s="179"/>
      <c r="DT239" s="179"/>
      <c r="DU239" s="179"/>
      <c r="DV239" s="179"/>
      <c r="DW239" s="179"/>
      <c r="DX239" s="179"/>
      <c r="DY239" s="179"/>
      <c r="DZ239" s="179"/>
      <c r="EA239" s="179"/>
      <c r="EB239" s="179"/>
      <c r="EC239" s="179"/>
      <c r="ED239" s="179"/>
      <c r="EE239" s="179"/>
      <c r="EF239" s="179"/>
      <c r="EG239" s="179"/>
      <c r="EH239" s="179"/>
      <c r="EI239" s="179"/>
      <c r="EJ239" s="179"/>
      <c r="EK239" s="179"/>
      <c r="EL239" s="179"/>
      <c r="EM239" s="179"/>
      <c r="EN239" s="179"/>
      <c r="EO239" s="179"/>
      <c r="EP239" s="179"/>
      <c r="EQ239" s="179"/>
      <c r="ER239" s="179"/>
      <c r="ES239" s="179"/>
      <c r="ET239" s="179"/>
      <c r="EU239" s="179"/>
      <c r="EV239" s="179"/>
      <c r="EW239" s="179"/>
      <c r="EX239" s="179"/>
      <c r="EY239" s="179"/>
      <c r="EZ239" s="179"/>
      <c r="FA239" s="179"/>
      <c r="FB239" s="179"/>
      <c r="FC239" s="179"/>
      <c r="FD239" s="179"/>
      <c r="FE239" s="179"/>
      <c r="FF239" s="179"/>
      <c r="FG239" s="179"/>
      <c r="FH239" s="179"/>
      <c r="FI239" s="179"/>
      <c r="FJ239" s="179"/>
      <c r="FK239" s="179"/>
      <c r="FL239" s="179"/>
      <c r="FM239" s="179"/>
      <c r="FN239" s="179"/>
      <c r="FO239" s="179"/>
      <c r="FP239" s="179"/>
      <c r="FQ239" s="179"/>
      <c r="FR239" s="179"/>
      <c r="FS239" s="179"/>
      <c r="FT239" s="179"/>
      <c r="FU239" s="179"/>
      <c r="FV239" s="179"/>
      <c r="FW239" s="179"/>
      <c r="FX239" s="179"/>
      <c r="FY239" s="179"/>
      <c r="FZ239" s="179"/>
      <c r="GA239" s="179"/>
      <c r="GB239" s="179"/>
      <c r="GC239" s="179"/>
      <c r="GD239" s="179"/>
      <c r="GE239" s="179"/>
      <c r="GF239" s="179"/>
      <c r="GG239" s="179"/>
      <c r="GH239" s="179"/>
      <c r="GI239" s="179"/>
      <c r="GJ239" s="179"/>
      <c r="GK239" s="179"/>
      <c r="GL239" s="179"/>
      <c r="GM239" s="179"/>
      <c r="GN239" s="179"/>
      <c r="GO239" s="179"/>
      <c r="GP239" s="179"/>
      <c r="GQ239" s="179"/>
      <c r="GR239" s="179"/>
      <c r="GS239" s="179"/>
      <c r="GT239" s="179"/>
      <c r="GU239" s="179"/>
      <c r="GV239" s="179"/>
      <c r="GW239" s="179"/>
      <c r="GX239" s="179"/>
      <c r="GY239" s="179"/>
      <c r="GZ239" s="179"/>
      <c r="HA239" s="179"/>
      <c r="HB239" s="179"/>
      <c r="HC239" s="179"/>
      <c r="HD239" s="179"/>
      <c r="HE239" s="179"/>
      <c r="HF239" s="179"/>
      <c r="HG239" s="179"/>
      <c r="HH239" s="179"/>
      <c r="HI239" s="179"/>
      <c r="HJ239" s="179"/>
      <c r="HK239" s="179"/>
      <c r="HL239" s="179"/>
      <c r="HM239" s="179"/>
      <c r="HN239" s="179"/>
      <c r="HO239" s="179"/>
      <c r="HP239" s="179"/>
      <c r="HQ239" s="179"/>
      <c r="HR239" s="179"/>
      <c r="HS239" s="179"/>
      <c r="HT239" s="179"/>
      <c r="HU239" s="179"/>
      <c r="HV239" s="179"/>
      <c r="HW239" s="179"/>
      <c r="HX239" s="179"/>
      <c r="HY239" s="179"/>
      <c r="HZ239" s="179"/>
      <c r="IA239" s="179"/>
      <c r="IB239" s="179"/>
      <c r="IC239" s="179"/>
      <c r="ID239" s="179"/>
      <c r="IE239" s="179"/>
      <c r="IF239" s="179"/>
      <c r="IG239" s="179"/>
      <c r="IH239" s="179"/>
      <c r="II239" s="179"/>
      <c r="IJ239" s="179"/>
      <c r="IK239" s="179"/>
      <c r="IL239" s="179"/>
      <c r="IM239" s="179"/>
      <c r="IN239" s="179"/>
      <c r="IO239" s="179"/>
      <c r="IP239" s="179"/>
      <c r="IQ239" s="179"/>
      <c r="IR239" s="179"/>
      <c r="IS239" s="179"/>
    </row>
    <row r="240" spans="1:254">
      <c r="A240" s="325" t="s">
        <v>599</v>
      </c>
      <c r="B240" s="193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79"/>
      <c r="AT240" s="179"/>
      <c r="AU240" s="179"/>
      <c r="AV240" s="179"/>
      <c r="AW240" s="179"/>
      <c r="AX240" s="179"/>
      <c r="AY240" s="179"/>
      <c r="AZ240" s="179"/>
      <c r="BA240" s="179"/>
      <c r="BB240" s="179"/>
      <c r="BC240" s="179"/>
      <c r="BD240" s="179"/>
      <c r="BE240" s="179"/>
      <c r="BF240" s="179"/>
      <c r="BG240" s="179"/>
      <c r="BH240" s="179"/>
      <c r="BI240" s="179"/>
      <c r="BJ240" s="179"/>
      <c r="BK240" s="179"/>
      <c r="BL240" s="179"/>
      <c r="BM240" s="179"/>
      <c r="BN240" s="179"/>
      <c r="BO240" s="179"/>
      <c r="BP240" s="179"/>
      <c r="BQ240" s="179"/>
      <c r="BR240" s="179"/>
      <c r="BS240" s="179"/>
      <c r="BT240" s="179"/>
      <c r="BU240" s="179"/>
      <c r="BV240" s="179"/>
      <c r="BW240" s="179"/>
      <c r="BX240" s="179"/>
      <c r="BY240" s="179"/>
      <c r="BZ240" s="179"/>
      <c r="CA240" s="179"/>
      <c r="CB240" s="179"/>
      <c r="CC240" s="179"/>
      <c r="CD240" s="179"/>
      <c r="CE240" s="179"/>
      <c r="CF240" s="179"/>
      <c r="CG240" s="179"/>
      <c r="CH240" s="179"/>
      <c r="CI240" s="179"/>
      <c r="CJ240" s="179"/>
      <c r="CK240" s="179"/>
      <c r="CL240" s="179"/>
      <c r="CM240" s="179"/>
      <c r="CN240" s="179"/>
      <c r="CO240" s="179"/>
      <c r="CP240" s="179"/>
      <c r="CQ240" s="179"/>
      <c r="CR240" s="179"/>
      <c r="CS240" s="179"/>
      <c r="CT240" s="179"/>
      <c r="CU240" s="179"/>
      <c r="CV240" s="179"/>
      <c r="CW240" s="179"/>
      <c r="CX240" s="179"/>
      <c r="CY240" s="179"/>
      <c r="CZ240" s="179"/>
      <c r="DA240" s="179"/>
      <c r="DB240" s="179"/>
      <c r="DC240" s="179"/>
      <c r="DD240" s="179"/>
      <c r="DE240" s="179"/>
      <c r="DF240" s="179"/>
      <c r="DG240" s="179"/>
      <c r="DH240" s="179"/>
      <c r="DI240" s="179"/>
      <c r="DJ240" s="179"/>
      <c r="DK240" s="179"/>
      <c r="DL240" s="179"/>
      <c r="DM240" s="179"/>
      <c r="DN240" s="179"/>
      <c r="DO240" s="179"/>
      <c r="DP240" s="179"/>
      <c r="DQ240" s="179"/>
      <c r="DR240" s="179"/>
      <c r="DS240" s="179"/>
      <c r="DT240" s="179"/>
      <c r="DU240" s="179"/>
      <c r="DV240" s="179"/>
      <c r="DW240" s="179"/>
      <c r="DX240" s="179"/>
      <c r="DY240" s="179"/>
      <c r="DZ240" s="179"/>
      <c r="EA240" s="179"/>
      <c r="EB240" s="179"/>
      <c r="EC240" s="179"/>
      <c r="ED240" s="179"/>
      <c r="EE240" s="179"/>
      <c r="EF240" s="179"/>
      <c r="EG240" s="179"/>
      <c r="EH240" s="179"/>
      <c r="EI240" s="179"/>
      <c r="EJ240" s="179"/>
      <c r="EK240" s="179"/>
      <c r="EL240" s="179"/>
      <c r="EM240" s="179"/>
      <c r="EN240" s="179"/>
      <c r="EO240" s="179"/>
      <c r="EP240" s="179"/>
      <c r="EQ240" s="179"/>
      <c r="ER240" s="179"/>
      <c r="ES240" s="179"/>
      <c r="ET240" s="179"/>
      <c r="EU240" s="179"/>
      <c r="EV240" s="179"/>
      <c r="EW240" s="179"/>
      <c r="EX240" s="179"/>
      <c r="EY240" s="179"/>
      <c r="EZ240" s="179"/>
      <c r="FA240" s="179"/>
      <c r="FB240" s="179"/>
      <c r="FC240" s="179"/>
      <c r="FD240" s="179"/>
      <c r="FE240" s="179"/>
      <c r="FF240" s="179"/>
      <c r="FG240" s="179"/>
      <c r="FH240" s="179"/>
      <c r="FI240" s="179"/>
      <c r="FJ240" s="179"/>
      <c r="FK240" s="179"/>
      <c r="FL240" s="179"/>
      <c r="FM240" s="179"/>
      <c r="FN240" s="179"/>
      <c r="FO240" s="179"/>
      <c r="FP240" s="179"/>
      <c r="FQ240" s="179"/>
      <c r="FR240" s="179"/>
      <c r="FS240" s="179"/>
      <c r="FT240" s="179"/>
      <c r="FU240" s="179"/>
      <c r="FV240" s="179"/>
      <c r="FW240" s="179"/>
      <c r="FX240" s="179"/>
      <c r="FY240" s="179"/>
      <c r="FZ240" s="179"/>
      <c r="GA240" s="179"/>
      <c r="GB240" s="179"/>
      <c r="GC240" s="179"/>
      <c r="GD240" s="179"/>
      <c r="GE240" s="179"/>
      <c r="GF240" s="179"/>
      <c r="GG240" s="179"/>
      <c r="GH240" s="179"/>
      <c r="GI240" s="179"/>
      <c r="GJ240" s="179"/>
      <c r="GK240" s="179"/>
      <c r="GL240" s="179"/>
      <c r="GM240" s="179"/>
      <c r="GN240" s="179"/>
      <c r="GO240" s="179"/>
      <c r="GP240" s="179"/>
      <c r="GQ240" s="179"/>
      <c r="GR240" s="179"/>
      <c r="GS240" s="179"/>
      <c r="GT240" s="179"/>
      <c r="GU240" s="179"/>
      <c r="GV240" s="179"/>
      <c r="GW240" s="179"/>
      <c r="GX240" s="179"/>
      <c r="GY240" s="179"/>
      <c r="GZ240" s="179"/>
      <c r="HA240" s="179"/>
      <c r="HB240" s="179"/>
      <c r="HC240" s="179"/>
      <c r="HD240" s="179"/>
      <c r="HE240" s="179"/>
      <c r="HF240" s="179"/>
      <c r="HG240" s="179"/>
      <c r="HH240" s="179"/>
      <c r="HI240" s="179"/>
      <c r="HJ240" s="179"/>
      <c r="HK240" s="179"/>
      <c r="HL240" s="179"/>
      <c r="HM240" s="179"/>
      <c r="HN240" s="179"/>
      <c r="HO240" s="179"/>
      <c r="HP240" s="179"/>
      <c r="HQ240" s="179"/>
      <c r="HR240" s="179"/>
      <c r="HS240" s="179"/>
      <c r="HT240" s="179"/>
      <c r="HU240" s="179"/>
      <c r="HV240" s="179"/>
      <c r="HW240" s="179"/>
      <c r="HX240" s="179"/>
      <c r="HY240" s="179"/>
      <c r="HZ240" s="179"/>
      <c r="IA240" s="179"/>
      <c r="IB240" s="179"/>
      <c r="IC240" s="179"/>
      <c r="ID240" s="179"/>
      <c r="IE240" s="179"/>
      <c r="IF240" s="179"/>
      <c r="IG240" s="179"/>
      <c r="IH240" s="179"/>
      <c r="II240" s="179"/>
      <c r="IJ240" s="179"/>
      <c r="IK240" s="179"/>
      <c r="IL240" s="179"/>
      <c r="IM240" s="179"/>
      <c r="IN240" s="179"/>
      <c r="IO240" s="179"/>
      <c r="IP240" s="179"/>
      <c r="IQ240" s="179"/>
      <c r="IR240" s="179"/>
      <c r="IS240" s="179"/>
    </row>
    <row r="241" spans="1:253" s="466" customFormat="1">
      <c r="A241" s="325" t="s">
        <v>521</v>
      </c>
      <c r="B241" s="194">
        <f>959300/45797.5*B230*1.4</f>
        <v>76128.17118838364</v>
      </c>
      <c r="C241" s="465"/>
      <c r="D241" s="465"/>
      <c r="E241" s="465"/>
      <c r="F241" s="465"/>
      <c r="G241" s="465"/>
      <c r="H241" s="465"/>
      <c r="I241" s="465"/>
      <c r="J241" s="465"/>
      <c r="K241" s="465"/>
      <c r="L241" s="465"/>
      <c r="M241" s="465"/>
      <c r="N241" s="465"/>
      <c r="O241" s="465"/>
      <c r="P241" s="465"/>
      <c r="Q241" s="465"/>
      <c r="R241" s="465"/>
      <c r="S241" s="465"/>
      <c r="T241" s="465"/>
      <c r="U241" s="465"/>
      <c r="V241" s="465"/>
      <c r="W241" s="465"/>
      <c r="X241" s="465"/>
      <c r="Y241" s="465"/>
      <c r="Z241" s="465"/>
      <c r="AA241" s="465"/>
      <c r="AB241" s="465"/>
      <c r="AC241" s="465"/>
      <c r="AD241" s="465"/>
      <c r="AE241" s="465"/>
      <c r="AF241" s="465"/>
      <c r="AG241" s="465"/>
      <c r="AH241" s="465"/>
      <c r="AI241" s="465"/>
      <c r="AJ241" s="465"/>
      <c r="AK241" s="465"/>
      <c r="AL241" s="465"/>
      <c r="AM241" s="465"/>
      <c r="AN241" s="465"/>
      <c r="AO241" s="465"/>
      <c r="AP241" s="465"/>
      <c r="AQ241" s="465"/>
      <c r="AR241" s="465"/>
      <c r="AS241" s="465"/>
      <c r="AT241" s="465"/>
      <c r="AU241" s="465"/>
      <c r="AV241" s="465"/>
      <c r="AW241" s="465"/>
      <c r="AX241" s="465"/>
      <c r="AY241" s="465"/>
      <c r="AZ241" s="465"/>
      <c r="BA241" s="465"/>
      <c r="BB241" s="465"/>
      <c r="BC241" s="465"/>
      <c r="BD241" s="465"/>
      <c r="BE241" s="465"/>
      <c r="BF241" s="465"/>
      <c r="BG241" s="465"/>
      <c r="BH241" s="465"/>
      <c r="BI241" s="465"/>
      <c r="BJ241" s="465"/>
      <c r="BK241" s="465"/>
      <c r="BL241" s="465"/>
      <c r="BM241" s="465"/>
      <c r="BN241" s="465"/>
      <c r="BO241" s="465"/>
      <c r="BP241" s="465"/>
      <c r="BQ241" s="465"/>
      <c r="BR241" s="465"/>
      <c r="BS241" s="465"/>
      <c r="BT241" s="465"/>
      <c r="BU241" s="465"/>
      <c r="BV241" s="465"/>
      <c r="BW241" s="465"/>
      <c r="BX241" s="465"/>
      <c r="BY241" s="465"/>
      <c r="BZ241" s="465"/>
      <c r="CA241" s="465"/>
      <c r="CB241" s="465"/>
      <c r="CC241" s="465"/>
      <c r="CD241" s="465"/>
      <c r="CE241" s="465"/>
      <c r="CF241" s="465"/>
      <c r="CG241" s="465"/>
      <c r="CH241" s="465"/>
      <c r="CI241" s="465"/>
      <c r="CJ241" s="465"/>
      <c r="CK241" s="465"/>
      <c r="CL241" s="465"/>
      <c r="CM241" s="465"/>
      <c r="CN241" s="465"/>
      <c r="CO241" s="465"/>
      <c r="CP241" s="465"/>
      <c r="CQ241" s="465"/>
      <c r="CR241" s="465"/>
      <c r="CS241" s="465"/>
      <c r="CT241" s="465"/>
      <c r="CU241" s="465"/>
      <c r="CV241" s="465"/>
      <c r="CW241" s="465"/>
      <c r="CX241" s="465"/>
      <c r="CY241" s="465"/>
      <c r="CZ241" s="465"/>
      <c r="DA241" s="465"/>
      <c r="DB241" s="465"/>
      <c r="DC241" s="465"/>
      <c r="DD241" s="465"/>
      <c r="DE241" s="465"/>
      <c r="DF241" s="465"/>
      <c r="DG241" s="465"/>
      <c r="DH241" s="465"/>
      <c r="DI241" s="465"/>
      <c r="DJ241" s="465"/>
      <c r="DK241" s="465"/>
      <c r="DL241" s="465"/>
      <c r="DM241" s="465"/>
      <c r="DN241" s="465"/>
      <c r="DO241" s="465"/>
      <c r="DP241" s="465"/>
      <c r="DQ241" s="465"/>
      <c r="DR241" s="465"/>
      <c r="DS241" s="465"/>
      <c r="DT241" s="465"/>
      <c r="DU241" s="465"/>
      <c r="DV241" s="465"/>
      <c r="DW241" s="465"/>
      <c r="DX241" s="465"/>
      <c r="DY241" s="465"/>
      <c r="DZ241" s="465"/>
      <c r="EA241" s="465"/>
      <c r="EB241" s="465"/>
      <c r="EC241" s="465"/>
      <c r="ED241" s="465"/>
      <c r="EE241" s="465"/>
      <c r="EF241" s="465"/>
      <c r="EG241" s="465"/>
      <c r="EH241" s="465"/>
      <c r="EI241" s="465"/>
      <c r="EJ241" s="465"/>
      <c r="EK241" s="465"/>
      <c r="EL241" s="465"/>
      <c r="EM241" s="465"/>
      <c r="EN241" s="465"/>
      <c r="EO241" s="465"/>
      <c r="EP241" s="465"/>
      <c r="EQ241" s="465"/>
      <c r="ER241" s="465"/>
      <c r="ES241" s="465"/>
      <c r="ET241" s="465"/>
      <c r="EU241" s="465"/>
      <c r="EV241" s="465"/>
      <c r="EW241" s="465"/>
      <c r="EX241" s="465"/>
      <c r="EY241" s="465"/>
      <c r="EZ241" s="465"/>
      <c r="FA241" s="465"/>
      <c r="FB241" s="465"/>
      <c r="FC241" s="465"/>
      <c r="FD241" s="465"/>
      <c r="FE241" s="465"/>
      <c r="FF241" s="465"/>
      <c r="FG241" s="465"/>
      <c r="FH241" s="465"/>
      <c r="FI241" s="465"/>
      <c r="FJ241" s="465"/>
      <c r="FK241" s="465"/>
      <c r="FL241" s="465"/>
      <c r="FM241" s="465"/>
      <c r="FN241" s="465"/>
      <c r="FO241" s="465"/>
      <c r="FP241" s="465"/>
      <c r="FQ241" s="465"/>
      <c r="FR241" s="465"/>
      <c r="FS241" s="465"/>
      <c r="FT241" s="465"/>
      <c r="FU241" s="465"/>
      <c r="FV241" s="465"/>
      <c r="FW241" s="465"/>
      <c r="FX241" s="465"/>
      <c r="FY241" s="465"/>
      <c r="FZ241" s="465"/>
      <c r="GA241" s="465"/>
      <c r="GB241" s="465"/>
      <c r="GC241" s="465"/>
      <c r="GD241" s="465"/>
      <c r="GE241" s="465"/>
      <c r="GF241" s="465"/>
      <c r="GG241" s="465"/>
      <c r="GH241" s="465"/>
      <c r="GI241" s="465"/>
      <c r="GJ241" s="465"/>
      <c r="GK241" s="465"/>
      <c r="GL241" s="465"/>
      <c r="GM241" s="465"/>
      <c r="GN241" s="465"/>
      <c r="GO241" s="465"/>
      <c r="GP241" s="465"/>
      <c r="GQ241" s="465"/>
      <c r="GR241" s="465"/>
      <c r="GS241" s="465"/>
      <c r="GT241" s="465"/>
      <c r="GU241" s="465"/>
      <c r="GV241" s="465"/>
      <c r="GW241" s="465"/>
      <c r="GX241" s="465"/>
      <c r="GY241" s="465"/>
      <c r="GZ241" s="465"/>
      <c r="HA241" s="465"/>
      <c r="HB241" s="465"/>
      <c r="HC241" s="465"/>
      <c r="HD241" s="465"/>
      <c r="HE241" s="465"/>
      <c r="HF241" s="465"/>
      <c r="HG241" s="465"/>
      <c r="HH241" s="465"/>
      <c r="HI241" s="465"/>
      <c r="HJ241" s="465"/>
      <c r="HK241" s="465"/>
      <c r="HL241" s="465"/>
      <c r="HM241" s="465"/>
      <c r="HN241" s="465"/>
      <c r="HO241" s="465"/>
      <c r="HP241" s="465"/>
      <c r="HQ241" s="465"/>
      <c r="HR241" s="465"/>
      <c r="HS241" s="465"/>
      <c r="HT241" s="465"/>
      <c r="HU241" s="465"/>
      <c r="HV241" s="465"/>
      <c r="HW241" s="465"/>
      <c r="HX241" s="465"/>
      <c r="HY241" s="465"/>
      <c r="HZ241" s="465"/>
      <c r="IA241" s="465"/>
      <c r="IB241" s="465"/>
      <c r="IC241" s="465"/>
      <c r="ID241" s="465"/>
      <c r="IE241" s="465"/>
      <c r="IF241" s="465"/>
      <c r="IG241" s="465"/>
      <c r="IH241" s="465"/>
      <c r="II241" s="465"/>
      <c r="IJ241" s="465"/>
      <c r="IK241" s="465"/>
      <c r="IL241" s="465"/>
      <c r="IM241" s="465"/>
      <c r="IN241" s="465"/>
      <c r="IO241" s="465"/>
      <c r="IP241" s="465"/>
      <c r="IQ241" s="465"/>
      <c r="IR241" s="465"/>
      <c r="IS241" s="465"/>
    </row>
    <row r="242" spans="1:253" s="466" customFormat="1">
      <c r="A242" s="325" t="s">
        <v>987</v>
      </c>
      <c r="B242" s="194">
        <f>0.31*12*B230*1.4</f>
        <v>13519.967999999997</v>
      </c>
      <c r="C242" s="465"/>
      <c r="D242" s="465"/>
      <c r="E242" s="465"/>
      <c r="F242" s="465"/>
      <c r="G242" s="465"/>
      <c r="H242" s="465"/>
      <c r="I242" s="465"/>
      <c r="J242" s="465"/>
      <c r="K242" s="465"/>
      <c r="L242" s="465"/>
      <c r="M242" s="465"/>
      <c r="N242" s="465"/>
      <c r="O242" s="465"/>
      <c r="P242" s="465"/>
      <c r="Q242" s="465"/>
      <c r="R242" s="465"/>
      <c r="S242" s="465"/>
      <c r="T242" s="465"/>
      <c r="U242" s="465"/>
      <c r="V242" s="465"/>
      <c r="W242" s="465"/>
      <c r="X242" s="465"/>
      <c r="Y242" s="465"/>
      <c r="Z242" s="465"/>
      <c r="AA242" s="465"/>
      <c r="AB242" s="465"/>
      <c r="AC242" s="465"/>
      <c r="AD242" s="465"/>
      <c r="AE242" s="465"/>
      <c r="AF242" s="465"/>
      <c r="AG242" s="465"/>
      <c r="AH242" s="465"/>
      <c r="AI242" s="465"/>
      <c r="AJ242" s="465"/>
      <c r="AK242" s="465"/>
      <c r="AL242" s="465"/>
      <c r="AM242" s="465"/>
      <c r="AN242" s="465"/>
      <c r="AO242" s="465"/>
      <c r="AP242" s="465"/>
      <c r="AQ242" s="465"/>
      <c r="AR242" s="465"/>
      <c r="AS242" s="465"/>
      <c r="AT242" s="465"/>
      <c r="AU242" s="465"/>
      <c r="AV242" s="465"/>
      <c r="AW242" s="465"/>
      <c r="AX242" s="465"/>
      <c r="AY242" s="465"/>
      <c r="AZ242" s="465"/>
      <c r="BA242" s="465"/>
      <c r="BB242" s="465"/>
      <c r="BC242" s="465"/>
      <c r="BD242" s="465"/>
      <c r="BE242" s="465"/>
      <c r="BF242" s="465"/>
      <c r="BG242" s="465"/>
      <c r="BH242" s="465"/>
      <c r="BI242" s="465"/>
      <c r="BJ242" s="465"/>
      <c r="BK242" s="465"/>
      <c r="BL242" s="465"/>
      <c r="BM242" s="465"/>
      <c r="BN242" s="465"/>
      <c r="BO242" s="465"/>
      <c r="BP242" s="465"/>
      <c r="BQ242" s="465"/>
      <c r="BR242" s="465"/>
      <c r="BS242" s="465"/>
      <c r="BT242" s="465"/>
      <c r="BU242" s="465"/>
      <c r="BV242" s="465"/>
      <c r="BW242" s="465"/>
      <c r="BX242" s="465"/>
      <c r="BY242" s="465"/>
      <c r="BZ242" s="465"/>
      <c r="CA242" s="465"/>
      <c r="CB242" s="465"/>
      <c r="CC242" s="465"/>
      <c r="CD242" s="465"/>
      <c r="CE242" s="465"/>
      <c r="CF242" s="465"/>
      <c r="CG242" s="465"/>
      <c r="CH242" s="465"/>
      <c r="CI242" s="465"/>
      <c r="CJ242" s="465"/>
      <c r="CK242" s="465"/>
      <c r="CL242" s="465"/>
      <c r="CM242" s="465"/>
      <c r="CN242" s="465"/>
      <c r="CO242" s="465"/>
      <c r="CP242" s="465"/>
      <c r="CQ242" s="465"/>
      <c r="CR242" s="465"/>
      <c r="CS242" s="465"/>
      <c r="CT242" s="465"/>
      <c r="CU242" s="465"/>
      <c r="CV242" s="465"/>
      <c r="CW242" s="465"/>
      <c r="CX242" s="465"/>
      <c r="CY242" s="465"/>
      <c r="CZ242" s="465"/>
      <c r="DA242" s="465"/>
      <c r="DB242" s="465"/>
      <c r="DC242" s="465"/>
      <c r="DD242" s="465"/>
      <c r="DE242" s="465"/>
      <c r="DF242" s="465"/>
      <c r="DG242" s="465"/>
      <c r="DH242" s="465"/>
      <c r="DI242" s="465"/>
      <c r="DJ242" s="465"/>
      <c r="DK242" s="465"/>
      <c r="DL242" s="465"/>
      <c r="DM242" s="465"/>
      <c r="DN242" s="465"/>
      <c r="DO242" s="465"/>
      <c r="DP242" s="465"/>
      <c r="DQ242" s="465"/>
      <c r="DR242" s="465"/>
      <c r="DS242" s="465"/>
      <c r="DT242" s="465"/>
      <c r="DU242" s="465"/>
      <c r="DV242" s="465"/>
      <c r="DW242" s="465"/>
      <c r="DX242" s="465"/>
      <c r="DY242" s="465"/>
      <c r="DZ242" s="465"/>
      <c r="EA242" s="465"/>
      <c r="EB242" s="465"/>
      <c r="EC242" s="465"/>
      <c r="ED242" s="465"/>
      <c r="EE242" s="465"/>
      <c r="EF242" s="465"/>
      <c r="EG242" s="465"/>
      <c r="EH242" s="465"/>
      <c r="EI242" s="465"/>
      <c r="EJ242" s="465"/>
      <c r="EK242" s="465"/>
      <c r="EL242" s="465"/>
      <c r="EM242" s="465"/>
      <c r="EN242" s="465"/>
      <c r="EO242" s="465"/>
      <c r="EP242" s="465"/>
      <c r="EQ242" s="465"/>
      <c r="ER242" s="465"/>
      <c r="ES242" s="465"/>
      <c r="ET242" s="465"/>
      <c r="EU242" s="465"/>
      <c r="EV242" s="465"/>
      <c r="EW242" s="465"/>
      <c r="EX242" s="465"/>
      <c r="EY242" s="465"/>
      <c r="EZ242" s="465"/>
      <c r="FA242" s="465"/>
      <c r="FB242" s="465"/>
      <c r="FC242" s="465"/>
      <c r="FD242" s="465"/>
      <c r="FE242" s="465"/>
      <c r="FF242" s="465"/>
      <c r="FG242" s="465"/>
      <c r="FH242" s="465"/>
      <c r="FI242" s="465"/>
      <c r="FJ242" s="465"/>
      <c r="FK242" s="465"/>
      <c r="FL242" s="465"/>
      <c r="FM242" s="465"/>
      <c r="FN242" s="465"/>
      <c r="FO242" s="465"/>
      <c r="FP242" s="465"/>
      <c r="FQ242" s="465"/>
      <c r="FR242" s="465"/>
      <c r="FS242" s="465"/>
      <c r="FT242" s="465"/>
      <c r="FU242" s="465"/>
      <c r="FV242" s="465"/>
      <c r="FW242" s="465"/>
      <c r="FX242" s="465"/>
      <c r="FY242" s="465"/>
      <c r="FZ242" s="465"/>
      <c r="GA242" s="465"/>
      <c r="GB242" s="465"/>
      <c r="GC242" s="465"/>
      <c r="GD242" s="465"/>
      <c r="GE242" s="465"/>
      <c r="GF242" s="465"/>
      <c r="GG242" s="465"/>
      <c r="GH242" s="465"/>
      <c r="GI242" s="465"/>
      <c r="GJ242" s="465"/>
      <c r="GK242" s="465"/>
      <c r="GL242" s="465"/>
      <c r="GM242" s="465"/>
      <c r="GN242" s="465"/>
      <c r="GO242" s="465"/>
      <c r="GP242" s="465"/>
      <c r="GQ242" s="465"/>
      <c r="GR242" s="465"/>
      <c r="GS242" s="465"/>
      <c r="GT242" s="465"/>
      <c r="GU242" s="465"/>
      <c r="GV242" s="465"/>
      <c r="GW242" s="465"/>
      <c r="GX242" s="465"/>
      <c r="GY242" s="465"/>
      <c r="GZ242" s="465"/>
      <c r="HA242" s="465"/>
      <c r="HB242" s="465"/>
      <c r="HC242" s="465"/>
      <c r="HD242" s="465"/>
      <c r="HE242" s="465"/>
      <c r="HF242" s="465"/>
      <c r="HG242" s="465"/>
      <c r="HH242" s="465"/>
      <c r="HI242" s="465"/>
      <c r="HJ242" s="465"/>
      <c r="HK242" s="465"/>
      <c r="HL242" s="465"/>
      <c r="HM242" s="465"/>
      <c r="HN242" s="465"/>
      <c r="HO242" s="465"/>
      <c r="HP242" s="465"/>
      <c r="HQ242" s="465"/>
      <c r="HR242" s="465"/>
      <c r="HS242" s="465"/>
      <c r="HT242" s="465"/>
      <c r="HU242" s="465"/>
      <c r="HV242" s="465"/>
      <c r="HW242" s="465"/>
      <c r="HX242" s="465"/>
      <c r="HY242" s="465"/>
      <c r="HZ242" s="465"/>
      <c r="IA242" s="465"/>
      <c r="IB242" s="465"/>
      <c r="IC242" s="465"/>
      <c r="ID242" s="465"/>
      <c r="IE242" s="465"/>
      <c r="IF242" s="465"/>
      <c r="IG242" s="465"/>
      <c r="IH242" s="465"/>
      <c r="II242" s="465"/>
      <c r="IJ242" s="465"/>
      <c r="IK242" s="465"/>
      <c r="IL242" s="465"/>
      <c r="IM242" s="465"/>
      <c r="IN242" s="465"/>
      <c r="IO242" s="465"/>
      <c r="IP242" s="465"/>
      <c r="IQ242" s="465"/>
      <c r="IR242" s="465"/>
      <c r="IS242" s="465"/>
    </row>
    <row r="243" spans="1:253" s="466" customFormat="1">
      <c r="A243" s="325" t="s">
        <v>520</v>
      </c>
      <c r="B243" s="194">
        <f>0.89*12*B230*1.4</f>
        <v>38815.391999999993</v>
      </c>
      <c r="C243" s="465"/>
      <c r="D243" s="465"/>
      <c r="E243" s="465"/>
      <c r="F243" s="465"/>
      <c r="G243" s="465"/>
      <c r="H243" s="465"/>
      <c r="I243" s="465"/>
      <c r="J243" s="465"/>
      <c r="K243" s="465"/>
      <c r="L243" s="465"/>
      <c r="M243" s="465"/>
      <c r="N243" s="465"/>
      <c r="O243" s="465"/>
      <c r="P243" s="465"/>
      <c r="Q243" s="465"/>
      <c r="R243" s="465"/>
      <c r="S243" s="465"/>
      <c r="T243" s="465"/>
      <c r="U243" s="465"/>
      <c r="V243" s="465"/>
      <c r="W243" s="465"/>
      <c r="X243" s="465"/>
      <c r="Y243" s="465"/>
      <c r="Z243" s="465"/>
      <c r="AA243" s="465"/>
      <c r="AB243" s="465"/>
      <c r="AC243" s="465"/>
      <c r="AD243" s="465"/>
      <c r="AE243" s="465"/>
      <c r="AF243" s="465"/>
      <c r="AG243" s="465"/>
      <c r="AH243" s="465"/>
      <c r="AI243" s="465"/>
      <c r="AJ243" s="465"/>
      <c r="AK243" s="465"/>
      <c r="AL243" s="465"/>
      <c r="AM243" s="465"/>
      <c r="AN243" s="465"/>
      <c r="AO243" s="465"/>
      <c r="AP243" s="465"/>
      <c r="AQ243" s="465"/>
      <c r="AR243" s="465"/>
      <c r="AS243" s="465"/>
      <c r="AT243" s="465"/>
      <c r="AU243" s="465"/>
      <c r="AV243" s="465"/>
      <c r="AW243" s="465"/>
      <c r="AX243" s="465"/>
      <c r="AY243" s="465"/>
      <c r="AZ243" s="465"/>
      <c r="BA243" s="465"/>
      <c r="BB243" s="465"/>
      <c r="BC243" s="465"/>
      <c r="BD243" s="465"/>
      <c r="BE243" s="465"/>
      <c r="BF243" s="465"/>
      <c r="BG243" s="465"/>
      <c r="BH243" s="465"/>
      <c r="BI243" s="465"/>
      <c r="BJ243" s="465"/>
      <c r="BK243" s="465"/>
      <c r="BL243" s="465"/>
      <c r="BM243" s="465"/>
      <c r="BN243" s="465"/>
      <c r="BO243" s="465"/>
      <c r="BP243" s="465"/>
      <c r="BQ243" s="465"/>
      <c r="BR243" s="465"/>
      <c r="BS243" s="465"/>
      <c r="BT243" s="465"/>
      <c r="BU243" s="465"/>
      <c r="BV243" s="465"/>
      <c r="BW243" s="465"/>
      <c r="BX243" s="465"/>
      <c r="BY243" s="465"/>
      <c r="BZ243" s="465"/>
      <c r="CA243" s="465"/>
      <c r="CB243" s="465"/>
      <c r="CC243" s="465"/>
      <c r="CD243" s="465"/>
      <c r="CE243" s="465"/>
      <c r="CF243" s="465"/>
      <c r="CG243" s="465"/>
      <c r="CH243" s="465"/>
      <c r="CI243" s="465"/>
      <c r="CJ243" s="465"/>
      <c r="CK243" s="465"/>
      <c r="CL243" s="465"/>
      <c r="CM243" s="465"/>
      <c r="CN243" s="465"/>
      <c r="CO243" s="465"/>
      <c r="CP243" s="465"/>
      <c r="CQ243" s="465"/>
      <c r="CR243" s="465"/>
      <c r="CS243" s="465"/>
      <c r="CT243" s="465"/>
      <c r="CU243" s="465"/>
      <c r="CV243" s="465"/>
      <c r="CW243" s="465"/>
      <c r="CX243" s="465"/>
      <c r="CY243" s="465"/>
      <c r="CZ243" s="465"/>
      <c r="DA243" s="465"/>
      <c r="DB243" s="465"/>
      <c r="DC243" s="465"/>
      <c r="DD243" s="465"/>
      <c r="DE243" s="465"/>
      <c r="DF243" s="465"/>
      <c r="DG243" s="465"/>
      <c r="DH243" s="465"/>
      <c r="DI243" s="465"/>
      <c r="DJ243" s="465"/>
      <c r="DK243" s="465"/>
      <c r="DL243" s="465"/>
      <c r="DM243" s="465"/>
      <c r="DN243" s="465"/>
      <c r="DO243" s="465"/>
      <c r="DP243" s="465"/>
      <c r="DQ243" s="465"/>
      <c r="DR243" s="465"/>
      <c r="DS243" s="465"/>
      <c r="DT243" s="465"/>
      <c r="DU243" s="465"/>
      <c r="DV243" s="465"/>
      <c r="DW243" s="465"/>
      <c r="DX243" s="465"/>
      <c r="DY243" s="465"/>
      <c r="DZ243" s="465"/>
      <c r="EA243" s="465"/>
      <c r="EB243" s="465"/>
      <c r="EC243" s="465"/>
      <c r="ED243" s="465"/>
      <c r="EE243" s="465"/>
      <c r="EF243" s="465"/>
      <c r="EG243" s="465"/>
      <c r="EH243" s="465"/>
      <c r="EI243" s="465"/>
      <c r="EJ243" s="465"/>
      <c r="EK243" s="465"/>
      <c r="EL243" s="465"/>
      <c r="EM243" s="465"/>
      <c r="EN243" s="465"/>
      <c r="EO243" s="465"/>
      <c r="EP243" s="465"/>
      <c r="EQ243" s="465"/>
      <c r="ER243" s="465"/>
      <c r="ES243" s="465"/>
      <c r="ET243" s="465"/>
      <c r="EU243" s="465"/>
      <c r="EV243" s="465"/>
      <c r="EW243" s="465"/>
      <c r="EX243" s="465"/>
      <c r="EY243" s="465"/>
      <c r="EZ243" s="465"/>
      <c r="FA243" s="465"/>
      <c r="FB243" s="465"/>
      <c r="FC243" s="465"/>
      <c r="FD243" s="465"/>
      <c r="FE243" s="465"/>
      <c r="FF243" s="465"/>
      <c r="FG243" s="465"/>
      <c r="FH243" s="465"/>
      <c r="FI243" s="465"/>
      <c r="FJ243" s="465"/>
      <c r="FK243" s="465"/>
      <c r="FL243" s="465"/>
      <c r="FM243" s="465"/>
      <c r="FN243" s="465"/>
      <c r="FO243" s="465"/>
      <c r="FP243" s="465"/>
      <c r="FQ243" s="465"/>
      <c r="FR243" s="465"/>
      <c r="FS243" s="465"/>
      <c r="FT243" s="465"/>
      <c r="FU243" s="465"/>
      <c r="FV243" s="465"/>
      <c r="FW243" s="465"/>
      <c r="FX243" s="465"/>
      <c r="FY243" s="465"/>
      <c r="FZ243" s="465"/>
      <c r="GA243" s="465"/>
      <c r="GB243" s="465"/>
      <c r="GC243" s="465"/>
      <c r="GD243" s="465"/>
      <c r="GE243" s="465"/>
      <c r="GF243" s="465"/>
      <c r="GG243" s="465"/>
      <c r="GH243" s="465"/>
      <c r="GI243" s="465"/>
      <c r="GJ243" s="465"/>
      <c r="GK243" s="465"/>
      <c r="GL243" s="465"/>
      <c r="GM243" s="465"/>
      <c r="GN243" s="465"/>
      <c r="GO243" s="465"/>
      <c r="GP243" s="465"/>
      <c r="GQ243" s="465"/>
      <c r="GR243" s="465"/>
      <c r="GS243" s="465"/>
      <c r="GT243" s="465"/>
      <c r="GU243" s="465"/>
      <c r="GV243" s="465"/>
      <c r="GW243" s="465"/>
      <c r="GX243" s="465"/>
      <c r="GY243" s="465"/>
      <c r="GZ243" s="465"/>
      <c r="HA243" s="465"/>
      <c r="HB243" s="465"/>
      <c r="HC243" s="465"/>
      <c r="HD243" s="465"/>
      <c r="HE243" s="465"/>
      <c r="HF243" s="465"/>
      <c r="HG243" s="465"/>
      <c r="HH243" s="465"/>
      <c r="HI243" s="465"/>
      <c r="HJ243" s="465"/>
      <c r="HK243" s="465"/>
      <c r="HL243" s="465"/>
      <c r="HM243" s="465"/>
      <c r="HN243" s="465"/>
      <c r="HO243" s="465"/>
      <c r="HP243" s="465"/>
      <c r="HQ243" s="465"/>
      <c r="HR243" s="465"/>
      <c r="HS243" s="465"/>
      <c r="HT243" s="465"/>
      <c r="HU243" s="465"/>
      <c r="HV243" s="465"/>
      <c r="HW243" s="465"/>
      <c r="HX243" s="465"/>
      <c r="HY243" s="465"/>
      <c r="HZ243" s="465"/>
      <c r="IA243" s="465"/>
      <c r="IB243" s="465"/>
      <c r="IC243" s="465"/>
      <c r="ID243" s="465"/>
      <c r="IE243" s="465"/>
      <c r="IF243" s="465"/>
      <c r="IG243" s="465"/>
      <c r="IH243" s="465"/>
      <c r="II243" s="465"/>
      <c r="IJ243" s="465"/>
      <c r="IK243" s="465"/>
      <c r="IL243" s="465"/>
      <c r="IM243" s="465"/>
      <c r="IN243" s="465"/>
      <c r="IO243" s="465"/>
      <c r="IP243" s="465"/>
      <c r="IQ243" s="465"/>
      <c r="IR243" s="465"/>
      <c r="IS243" s="465"/>
    </row>
    <row r="244" spans="1:253">
      <c r="A244" s="325" t="s">
        <v>600</v>
      </c>
      <c r="B244" s="194">
        <f>206*70*1.4</f>
        <v>20188</v>
      </c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79"/>
      <c r="AT244" s="179"/>
      <c r="AU244" s="179"/>
      <c r="AV244" s="179"/>
      <c r="AW244" s="179"/>
      <c r="AX244" s="179"/>
      <c r="AY244" s="179"/>
      <c r="AZ244" s="179"/>
      <c r="BA244" s="179"/>
      <c r="BB244" s="179"/>
      <c r="BC244" s="179"/>
      <c r="BD244" s="179"/>
      <c r="BE244" s="179"/>
      <c r="BF244" s="179"/>
      <c r="BG244" s="179"/>
      <c r="BH244" s="179"/>
      <c r="BI244" s="179"/>
      <c r="BJ244" s="179"/>
      <c r="BK244" s="179"/>
      <c r="BL244" s="179"/>
      <c r="BM244" s="179"/>
      <c r="BN244" s="179"/>
      <c r="BO244" s="179"/>
      <c r="BP244" s="179"/>
      <c r="BQ244" s="179"/>
      <c r="BR244" s="179"/>
      <c r="BS244" s="179"/>
      <c r="BT244" s="179"/>
      <c r="BU244" s="179"/>
      <c r="BV244" s="179"/>
      <c r="BW244" s="179"/>
      <c r="BX244" s="179"/>
      <c r="BY244" s="179"/>
      <c r="BZ244" s="179"/>
      <c r="CA244" s="179"/>
      <c r="CB244" s="179"/>
      <c r="CC244" s="179"/>
      <c r="CD244" s="179"/>
      <c r="CE244" s="179"/>
      <c r="CF244" s="179"/>
      <c r="CG244" s="179"/>
      <c r="CH244" s="179"/>
      <c r="CI244" s="179"/>
      <c r="CJ244" s="179"/>
      <c r="CK244" s="179"/>
      <c r="CL244" s="179"/>
      <c r="CM244" s="179"/>
      <c r="CN244" s="179"/>
      <c r="CO244" s="179"/>
      <c r="CP244" s="179"/>
      <c r="CQ244" s="179"/>
      <c r="CR244" s="179"/>
      <c r="CS244" s="179"/>
      <c r="CT244" s="179"/>
      <c r="CU244" s="179"/>
      <c r="CV244" s="179"/>
      <c r="CW244" s="179"/>
      <c r="CX244" s="179"/>
      <c r="CY244" s="179"/>
      <c r="CZ244" s="179"/>
      <c r="DA244" s="179"/>
      <c r="DB244" s="179"/>
      <c r="DC244" s="179"/>
      <c r="DD244" s="179"/>
      <c r="DE244" s="179"/>
      <c r="DF244" s="179"/>
      <c r="DG244" s="179"/>
      <c r="DH244" s="179"/>
      <c r="DI244" s="179"/>
      <c r="DJ244" s="179"/>
      <c r="DK244" s="179"/>
      <c r="DL244" s="179"/>
      <c r="DM244" s="179"/>
      <c r="DN244" s="179"/>
      <c r="DO244" s="179"/>
      <c r="DP244" s="179"/>
      <c r="DQ244" s="179"/>
      <c r="DR244" s="179"/>
      <c r="DS244" s="179"/>
      <c r="DT244" s="179"/>
      <c r="DU244" s="179"/>
      <c r="DV244" s="179"/>
      <c r="DW244" s="179"/>
      <c r="DX244" s="179"/>
      <c r="DY244" s="179"/>
      <c r="DZ244" s="179"/>
      <c r="EA244" s="179"/>
      <c r="EB244" s="179"/>
      <c r="EC244" s="179"/>
      <c r="ED244" s="179"/>
      <c r="EE244" s="179"/>
      <c r="EF244" s="179"/>
      <c r="EG244" s="179"/>
      <c r="EH244" s="179"/>
      <c r="EI244" s="179"/>
      <c r="EJ244" s="179"/>
      <c r="EK244" s="179"/>
      <c r="EL244" s="179"/>
      <c r="EM244" s="179"/>
      <c r="EN244" s="179"/>
      <c r="EO244" s="179"/>
      <c r="EP244" s="179"/>
      <c r="EQ244" s="179"/>
      <c r="ER244" s="179"/>
      <c r="ES244" s="179"/>
      <c r="ET244" s="179"/>
      <c r="EU244" s="179"/>
      <c r="EV244" s="179"/>
      <c r="EW244" s="179"/>
      <c r="EX244" s="179"/>
      <c r="EY244" s="179"/>
      <c r="EZ244" s="179"/>
      <c r="FA244" s="179"/>
      <c r="FB244" s="179"/>
      <c r="FC244" s="179"/>
      <c r="FD244" s="179"/>
      <c r="FE244" s="179"/>
      <c r="FF244" s="179"/>
      <c r="FG244" s="179"/>
      <c r="FH244" s="179"/>
      <c r="FI244" s="179"/>
      <c r="FJ244" s="179"/>
      <c r="FK244" s="179"/>
      <c r="FL244" s="179"/>
      <c r="FM244" s="179"/>
      <c r="FN244" s="179"/>
      <c r="FO244" s="179"/>
      <c r="FP244" s="179"/>
      <c r="FQ244" s="179"/>
      <c r="FR244" s="179"/>
      <c r="FS244" s="179"/>
      <c r="FT244" s="179"/>
      <c r="FU244" s="179"/>
      <c r="FV244" s="179"/>
      <c r="FW244" s="179"/>
      <c r="FX244" s="179"/>
      <c r="FY244" s="179"/>
      <c r="FZ244" s="179"/>
      <c r="GA244" s="179"/>
      <c r="GB244" s="179"/>
      <c r="GC244" s="179"/>
      <c r="GD244" s="179"/>
      <c r="GE244" s="179"/>
      <c r="GF244" s="179"/>
      <c r="GG244" s="179"/>
      <c r="GH244" s="179"/>
      <c r="GI244" s="179"/>
      <c r="GJ244" s="179"/>
      <c r="GK244" s="179"/>
      <c r="GL244" s="179"/>
      <c r="GM244" s="179"/>
      <c r="GN244" s="179"/>
      <c r="GO244" s="179"/>
      <c r="GP244" s="179"/>
      <c r="GQ244" s="179"/>
      <c r="GR244" s="179"/>
      <c r="GS244" s="179"/>
      <c r="GT244" s="179"/>
      <c r="GU244" s="179"/>
      <c r="GV244" s="179"/>
      <c r="GW244" s="179"/>
      <c r="GX244" s="179"/>
      <c r="GY244" s="179"/>
      <c r="GZ244" s="179"/>
      <c r="HA244" s="179"/>
      <c r="HB244" s="179"/>
      <c r="HC244" s="179"/>
      <c r="HD244" s="179"/>
      <c r="HE244" s="179"/>
      <c r="HF244" s="179"/>
      <c r="HG244" s="179"/>
      <c r="HH244" s="179"/>
      <c r="HI244" s="179"/>
      <c r="HJ244" s="179"/>
      <c r="HK244" s="179"/>
      <c r="HL244" s="179"/>
      <c r="HM244" s="179"/>
      <c r="HN244" s="179"/>
      <c r="HO244" s="179"/>
      <c r="HP244" s="179"/>
      <c r="HQ244" s="179"/>
      <c r="HR244" s="179"/>
      <c r="HS244" s="179"/>
      <c r="HT244" s="179"/>
      <c r="HU244" s="179"/>
      <c r="HV244" s="179"/>
      <c r="HW244" s="179"/>
      <c r="HX244" s="179"/>
      <c r="HY244" s="179"/>
      <c r="HZ244" s="179"/>
      <c r="IA244" s="179"/>
      <c r="IB244" s="179"/>
      <c r="IC244" s="179"/>
      <c r="ID244" s="179"/>
      <c r="IE244" s="179"/>
      <c r="IF244" s="179"/>
      <c r="IG244" s="179"/>
      <c r="IH244" s="179"/>
      <c r="II244" s="179"/>
      <c r="IJ244" s="179"/>
      <c r="IK244" s="179"/>
      <c r="IL244" s="179"/>
      <c r="IM244" s="179"/>
      <c r="IN244" s="179"/>
      <c r="IO244" s="179"/>
      <c r="IP244" s="179"/>
      <c r="IQ244" s="179"/>
      <c r="IR244" s="179"/>
      <c r="IS244" s="179"/>
    </row>
    <row r="245" spans="1:253" s="466" customFormat="1">
      <c r="A245" s="325" t="s">
        <v>601</v>
      </c>
      <c r="B245" s="194">
        <f>0.9*9100*13*1.302*1.4</f>
        <v>194073.516</v>
      </c>
      <c r="C245" s="465"/>
      <c r="D245" s="465"/>
      <c r="E245" s="465"/>
      <c r="F245" s="465"/>
      <c r="G245" s="465"/>
      <c r="H245" s="465"/>
      <c r="I245" s="465"/>
      <c r="J245" s="465"/>
      <c r="K245" s="465"/>
      <c r="L245" s="465"/>
      <c r="M245" s="465"/>
      <c r="N245" s="465"/>
      <c r="O245" s="465"/>
      <c r="P245" s="465"/>
      <c r="Q245" s="465"/>
      <c r="R245" s="465"/>
      <c r="S245" s="465"/>
      <c r="T245" s="465"/>
      <c r="U245" s="465"/>
      <c r="V245" s="465"/>
      <c r="W245" s="465"/>
      <c r="X245" s="465"/>
      <c r="Y245" s="465"/>
      <c r="Z245" s="465"/>
      <c r="AA245" s="465"/>
      <c r="AB245" s="465"/>
      <c r="AC245" s="465"/>
      <c r="AD245" s="465"/>
      <c r="AE245" s="465"/>
      <c r="AF245" s="465"/>
      <c r="AG245" s="465"/>
      <c r="AH245" s="465"/>
      <c r="AI245" s="465"/>
      <c r="AJ245" s="465"/>
      <c r="AK245" s="465"/>
      <c r="AL245" s="465"/>
      <c r="AM245" s="465"/>
      <c r="AN245" s="465"/>
      <c r="AO245" s="465"/>
      <c r="AP245" s="465"/>
      <c r="AQ245" s="465"/>
      <c r="AR245" s="465"/>
      <c r="AS245" s="465"/>
      <c r="AT245" s="465"/>
      <c r="AU245" s="465"/>
      <c r="AV245" s="465"/>
      <c r="AW245" s="465"/>
      <c r="AX245" s="465"/>
      <c r="AY245" s="465"/>
      <c r="AZ245" s="465"/>
      <c r="BA245" s="465"/>
      <c r="BB245" s="465"/>
      <c r="BC245" s="465"/>
      <c r="BD245" s="465"/>
      <c r="BE245" s="465"/>
      <c r="BF245" s="465"/>
      <c r="BG245" s="465"/>
      <c r="BH245" s="465"/>
      <c r="BI245" s="465"/>
      <c r="BJ245" s="465"/>
      <c r="BK245" s="465"/>
      <c r="BL245" s="465"/>
      <c r="BM245" s="465"/>
      <c r="BN245" s="465"/>
      <c r="BO245" s="465"/>
      <c r="BP245" s="465"/>
      <c r="BQ245" s="465"/>
      <c r="BR245" s="465"/>
      <c r="BS245" s="465"/>
      <c r="BT245" s="465"/>
      <c r="BU245" s="465"/>
      <c r="BV245" s="465"/>
      <c r="BW245" s="465"/>
      <c r="BX245" s="465"/>
      <c r="BY245" s="465"/>
      <c r="BZ245" s="465"/>
      <c r="CA245" s="465"/>
      <c r="CB245" s="465"/>
      <c r="CC245" s="465"/>
      <c r="CD245" s="465"/>
      <c r="CE245" s="465"/>
      <c r="CF245" s="465"/>
      <c r="CG245" s="465"/>
      <c r="CH245" s="465"/>
      <c r="CI245" s="465"/>
      <c r="CJ245" s="465"/>
      <c r="CK245" s="465"/>
      <c r="CL245" s="465"/>
      <c r="CM245" s="465"/>
      <c r="CN245" s="465"/>
      <c r="CO245" s="465"/>
      <c r="CP245" s="465"/>
      <c r="CQ245" s="465"/>
      <c r="CR245" s="465"/>
      <c r="CS245" s="465"/>
      <c r="CT245" s="465"/>
      <c r="CU245" s="465"/>
      <c r="CV245" s="465"/>
      <c r="CW245" s="465"/>
      <c r="CX245" s="465"/>
      <c r="CY245" s="465"/>
      <c r="CZ245" s="465"/>
      <c r="DA245" s="465"/>
      <c r="DB245" s="465"/>
      <c r="DC245" s="465"/>
      <c r="DD245" s="465"/>
      <c r="DE245" s="465"/>
      <c r="DF245" s="465"/>
      <c r="DG245" s="465"/>
      <c r="DH245" s="465"/>
      <c r="DI245" s="465"/>
      <c r="DJ245" s="465"/>
      <c r="DK245" s="465"/>
      <c r="DL245" s="465"/>
      <c r="DM245" s="465"/>
      <c r="DN245" s="465"/>
      <c r="DO245" s="465"/>
      <c r="DP245" s="465"/>
      <c r="DQ245" s="465"/>
      <c r="DR245" s="465"/>
      <c r="DS245" s="465"/>
      <c r="DT245" s="465"/>
      <c r="DU245" s="465"/>
      <c r="DV245" s="465"/>
      <c r="DW245" s="465"/>
      <c r="DX245" s="465"/>
      <c r="DY245" s="465"/>
      <c r="DZ245" s="465"/>
      <c r="EA245" s="465"/>
      <c r="EB245" s="465"/>
      <c r="EC245" s="465"/>
      <c r="ED245" s="465"/>
      <c r="EE245" s="465"/>
      <c r="EF245" s="465"/>
      <c r="EG245" s="465"/>
      <c r="EH245" s="465"/>
      <c r="EI245" s="465"/>
      <c r="EJ245" s="465"/>
      <c r="EK245" s="465"/>
      <c r="EL245" s="465"/>
      <c r="EM245" s="465"/>
      <c r="EN245" s="465"/>
      <c r="EO245" s="465"/>
      <c r="EP245" s="465"/>
      <c r="EQ245" s="465"/>
      <c r="ER245" s="465"/>
      <c r="ES245" s="465"/>
      <c r="ET245" s="465"/>
      <c r="EU245" s="465"/>
      <c r="EV245" s="465"/>
      <c r="EW245" s="465"/>
      <c r="EX245" s="465"/>
      <c r="EY245" s="465"/>
      <c r="EZ245" s="465"/>
      <c r="FA245" s="465"/>
      <c r="FB245" s="465"/>
      <c r="FC245" s="465"/>
      <c r="FD245" s="465"/>
      <c r="FE245" s="465"/>
      <c r="FF245" s="465"/>
      <c r="FG245" s="465"/>
      <c r="FH245" s="465"/>
      <c r="FI245" s="465"/>
      <c r="FJ245" s="465"/>
      <c r="FK245" s="465"/>
      <c r="FL245" s="465"/>
      <c r="FM245" s="465"/>
      <c r="FN245" s="465"/>
      <c r="FO245" s="465"/>
      <c r="FP245" s="465"/>
      <c r="FQ245" s="465"/>
      <c r="FR245" s="465"/>
      <c r="FS245" s="465"/>
      <c r="FT245" s="465"/>
      <c r="FU245" s="465"/>
      <c r="FV245" s="465"/>
      <c r="FW245" s="465"/>
      <c r="FX245" s="465"/>
      <c r="FY245" s="465"/>
      <c r="FZ245" s="465"/>
      <c r="GA245" s="465"/>
      <c r="GB245" s="465"/>
      <c r="GC245" s="465"/>
      <c r="GD245" s="465"/>
      <c r="GE245" s="465"/>
      <c r="GF245" s="465"/>
      <c r="GG245" s="465"/>
      <c r="GH245" s="465"/>
      <c r="GI245" s="465"/>
      <c r="GJ245" s="465"/>
      <c r="GK245" s="465"/>
      <c r="GL245" s="465"/>
      <c r="GM245" s="465"/>
      <c r="GN245" s="465"/>
      <c r="GO245" s="465"/>
      <c r="GP245" s="465"/>
      <c r="GQ245" s="465"/>
      <c r="GR245" s="465"/>
      <c r="GS245" s="465"/>
      <c r="GT245" s="465"/>
      <c r="GU245" s="465"/>
      <c r="GV245" s="465"/>
      <c r="GW245" s="465"/>
      <c r="GX245" s="465"/>
      <c r="GY245" s="465"/>
      <c r="GZ245" s="465"/>
      <c r="HA245" s="465"/>
      <c r="HB245" s="465"/>
      <c r="HC245" s="465"/>
      <c r="HD245" s="465"/>
      <c r="HE245" s="465"/>
      <c r="HF245" s="465"/>
      <c r="HG245" s="465"/>
      <c r="HH245" s="465"/>
      <c r="HI245" s="465"/>
      <c r="HJ245" s="465"/>
      <c r="HK245" s="465"/>
      <c r="HL245" s="465"/>
      <c r="HM245" s="465"/>
      <c r="HN245" s="465"/>
      <c r="HO245" s="465"/>
      <c r="HP245" s="465"/>
      <c r="HQ245" s="465"/>
      <c r="HR245" s="465"/>
      <c r="HS245" s="465"/>
      <c r="HT245" s="465"/>
      <c r="HU245" s="465"/>
      <c r="HV245" s="465"/>
      <c r="HW245" s="465"/>
      <c r="HX245" s="465"/>
      <c r="HY245" s="465"/>
      <c r="HZ245" s="465"/>
      <c r="IA245" s="465"/>
      <c r="IB245" s="465"/>
      <c r="IC245" s="465"/>
      <c r="ID245" s="465"/>
      <c r="IE245" s="465"/>
      <c r="IF245" s="465"/>
      <c r="IG245" s="465"/>
      <c r="IH245" s="465"/>
      <c r="II245" s="465"/>
      <c r="IJ245" s="465"/>
      <c r="IK245" s="465"/>
      <c r="IL245" s="465"/>
      <c r="IM245" s="465"/>
      <c r="IN245" s="465"/>
      <c r="IO245" s="465"/>
      <c r="IP245" s="465"/>
      <c r="IQ245" s="465"/>
      <c r="IR245" s="465"/>
      <c r="IS245" s="465"/>
    </row>
    <row r="246" spans="1:253">
      <c r="A246" s="325" t="s">
        <v>602</v>
      </c>
      <c r="B246" s="194">
        <f>B225</f>
        <v>616</v>
      </c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79"/>
      <c r="AT246" s="179"/>
      <c r="AU246" s="179"/>
      <c r="AV246" s="179"/>
      <c r="AW246" s="179"/>
      <c r="AX246" s="179"/>
      <c r="AY246" s="179"/>
      <c r="AZ246" s="179"/>
      <c r="BA246" s="179"/>
      <c r="BB246" s="179"/>
      <c r="BC246" s="179"/>
      <c r="BD246" s="179"/>
      <c r="BE246" s="179"/>
      <c r="BF246" s="179"/>
      <c r="BG246" s="179"/>
      <c r="BH246" s="179"/>
      <c r="BI246" s="179"/>
      <c r="BJ246" s="179"/>
      <c r="BK246" s="179"/>
      <c r="BL246" s="179"/>
      <c r="BM246" s="179"/>
      <c r="BN246" s="179"/>
      <c r="BO246" s="179"/>
      <c r="BP246" s="179"/>
      <c r="BQ246" s="179"/>
      <c r="BR246" s="179"/>
      <c r="BS246" s="179"/>
      <c r="BT246" s="179"/>
      <c r="BU246" s="179"/>
      <c r="BV246" s="179"/>
      <c r="BW246" s="179"/>
      <c r="BX246" s="179"/>
      <c r="BY246" s="179"/>
      <c r="BZ246" s="179"/>
      <c r="CA246" s="179"/>
      <c r="CB246" s="179"/>
      <c r="CC246" s="179"/>
      <c r="CD246" s="179"/>
      <c r="CE246" s="179"/>
      <c r="CF246" s="179"/>
      <c r="CG246" s="179"/>
      <c r="CH246" s="179"/>
      <c r="CI246" s="179"/>
      <c r="CJ246" s="179"/>
      <c r="CK246" s="179"/>
      <c r="CL246" s="179"/>
      <c r="CM246" s="179"/>
      <c r="CN246" s="179"/>
      <c r="CO246" s="179"/>
      <c r="CP246" s="179"/>
      <c r="CQ246" s="179"/>
      <c r="CR246" s="179"/>
      <c r="CS246" s="179"/>
      <c r="CT246" s="179"/>
      <c r="CU246" s="179"/>
      <c r="CV246" s="179"/>
      <c r="CW246" s="179"/>
      <c r="CX246" s="179"/>
      <c r="CY246" s="179"/>
      <c r="CZ246" s="179"/>
      <c r="DA246" s="179"/>
      <c r="DB246" s="179"/>
      <c r="DC246" s="179"/>
      <c r="DD246" s="179"/>
      <c r="DE246" s="179"/>
      <c r="DF246" s="179"/>
      <c r="DG246" s="179"/>
      <c r="DH246" s="179"/>
      <c r="DI246" s="179"/>
      <c r="DJ246" s="179"/>
      <c r="DK246" s="179"/>
      <c r="DL246" s="179"/>
      <c r="DM246" s="179"/>
      <c r="DN246" s="179"/>
      <c r="DO246" s="179"/>
      <c r="DP246" s="179"/>
      <c r="DQ246" s="179"/>
      <c r="DR246" s="179"/>
      <c r="DS246" s="179"/>
      <c r="DT246" s="179"/>
      <c r="DU246" s="179"/>
      <c r="DV246" s="179"/>
      <c r="DW246" s="179"/>
      <c r="DX246" s="179"/>
      <c r="DY246" s="179"/>
      <c r="DZ246" s="179"/>
      <c r="EA246" s="179"/>
      <c r="EB246" s="179"/>
      <c r="EC246" s="179"/>
      <c r="ED246" s="179"/>
      <c r="EE246" s="179"/>
      <c r="EF246" s="179"/>
      <c r="EG246" s="179"/>
      <c r="EH246" s="179"/>
      <c r="EI246" s="179"/>
      <c r="EJ246" s="179"/>
      <c r="EK246" s="179"/>
      <c r="EL246" s="179"/>
      <c r="EM246" s="179"/>
      <c r="EN246" s="179"/>
      <c r="EO246" s="179"/>
      <c r="EP246" s="179"/>
      <c r="EQ246" s="179"/>
      <c r="ER246" s="179"/>
      <c r="ES246" s="179"/>
      <c r="ET246" s="179"/>
      <c r="EU246" s="179"/>
      <c r="EV246" s="179"/>
      <c r="EW246" s="179"/>
      <c r="EX246" s="179"/>
      <c r="EY246" s="179"/>
      <c r="EZ246" s="179"/>
      <c r="FA246" s="179"/>
      <c r="FB246" s="179"/>
      <c r="FC246" s="179"/>
      <c r="FD246" s="179"/>
      <c r="FE246" s="179"/>
      <c r="FF246" s="179"/>
      <c r="FG246" s="179"/>
      <c r="FH246" s="179"/>
      <c r="FI246" s="179"/>
      <c r="FJ246" s="179"/>
      <c r="FK246" s="179"/>
      <c r="FL246" s="179"/>
      <c r="FM246" s="179"/>
      <c r="FN246" s="179"/>
      <c r="FO246" s="179"/>
      <c r="FP246" s="179"/>
      <c r="FQ246" s="179"/>
      <c r="FR246" s="179"/>
      <c r="FS246" s="179"/>
      <c r="FT246" s="179"/>
      <c r="FU246" s="179"/>
      <c r="FV246" s="179"/>
      <c r="FW246" s="179"/>
      <c r="FX246" s="179"/>
      <c r="FY246" s="179"/>
      <c r="FZ246" s="179"/>
      <c r="GA246" s="179"/>
      <c r="GB246" s="179"/>
      <c r="GC246" s="179"/>
      <c r="GD246" s="179"/>
      <c r="GE246" s="179"/>
      <c r="GF246" s="179"/>
      <c r="GG246" s="179"/>
      <c r="GH246" s="179"/>
      <c r="GI246" s="179"/>
      <c r="GJ246" s="179"/>
      <c r="GK246" s="179"/>
      <c r="GL246" s="179"/>
      <c r="GM246" s="179"/>
      <c r="GN246" s="179"/>
      <c r="GO246" s="179"/>
      <c r="GP246" s="179"/>
      <c r="GQ246" s="179"/>
      <c r="GR246" s="179"/>
      <c r="GS246" s="179"/>
      <c r="GT246" s="179"/>
      <c r="GU246" s="179"/>
      <c r="GV246" s="179"/>
      <c r="GW246" s="179"/>
      <c r="GX246" s="179"/>
      <c r="GY246" s="179"/>
      <c r="GZ246" s="179"/>
      <c r="HA246" s="179"/>
      <c r="HB246" s="179"/>
      <c r="HC246" s="179"/>
      <c r="HD246" s="179"/>
      <c r="HE246" s="179"/>
      <c r="HF246" s="179"/>
      <c r="HG246" s="179"/>
      <c r="HH246" s="179"/>
      <c r="HI246" s="179"/>
      <c r="HJ246" s="179"/>
      <c r="HK246" s="179"/>
      <c r="HL246" s="179"/>
      <c r="HM246" s="179"/>
      <c r="HN246" s="179"/>
      <c r="HO246" s="179"/>
      <c r="HP246" s="179"/>
      <c r="HQ246" s="179"/>
      <c r="HR246" s="179"/>
      <c r="HS246" s="179"/>
      <c r="HT246" s="179"/>
      <c r="HU246" s="179"/>
      <c r="HV246" s="179"/>
      <c r="HW246" s="179"/>
      <c r="HX246" s="179"/>
      <c r="HY246" s="179"/>
      <c r="HZ246" s="179"/>
      <c r="IA246" s="179"/>
      <c r="IB246" s="179"/>
      <c r="IC246" s="179"/>
      <c r="ID246" s="179"/>
      <c r="IE246" s="179"/>
      <c r="IF246" s="179"/>
      <c r="IG246" s="179"/>
      <c r="IH246" s="179"/>
      <c r="II246" s="179"/>
      <c r="IJ246" s="179"/>
      <c r="IK246" s="179"/>
      <c r="IL246" s="179"/>
      <c r="IM246" s="179"/>
      <c r="IN246" s="179"/>
      <c r="IO246" s="179"/>
      <c r="IP246" s="179"/>
      <c r="IQ246" s="179"/>
      <c r="IR246" s="179"/>
      <c r="IS246" s="179"/>
    </row>
    <row r="247" spans="1:253">
      <c r="A247" s="325" t="s">
        <v>603</v>
      </c>
      <c r="B247" s="194">
        <f>B246*130*1.302*1.4</f>
        <v>145969.82399999999</v>
      </c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79"/>
      <c r="BA247" s="179"/>
      <c r="BB247" s="179"/>
      <c r="BC247" s="179"/>
      <c r="BD247" s="179"/>
      <c r="BE247" s="179"/>
      <c r="BF247" s="179"/>
      <c r="BG247" s="179"/>
      <c r="BH247" s="179"/>
      <c r="BI247" s="179"/>
      <c r="BJ247" s="179"/>
      <c r="BK247" s="179"/>
      <c r="BL247" s="179"/>
      <c r="BM247" s="179"/>
      <c r="BN247" s="179"/>
      <c r="BO247" s="179"/>
      <c r="BP247" s="179"/>
      <c r="BQ247" s="179"/>
      <c r="BR247" s="179"/>
      <c r="BS247" s="179"/>
      <c r="BT247" s="179"/>
      <c r="BU247" s="179"/>
      <c r="BV247" s="179"/>
      <c r="BW247" s="179"/>
      <c r="BX247" s="179"/>
      <c r="BY247" s="179"/>
      <c r="BZ247" s="179"/>
      <c r="CA247" s="179"/>
      <c r="CB247" s="179"/>
      <c r="CC247" s="179"/>
      <c r="CD247" s="179"/>
      <c r="CE247" s="179"/>
      <c r="CF247" s="179"/>
      <c r="CG247" s="179"/>
      <c r="CH247" s="179"/>
      <c r="CI247" s="179"/>
      <c r="CJ247" s="179"/>
      <c r="CK247" s="179"/>
      <c r="CL247" s="179"/>
      <c r="CM247" s="179"/>
      <c r="CN247" s="179"/>
      <c r="CO247" s="179"/>
      <c r="CP247" s="179"/>
      <c r="CQ247" s="179"/>
      <c r="CR247" s="179"/>
      <c r="CS247" s="179"/>
      <c r="CT247" s="179"/>
      <c r="CU247" s="179"/>
      <c r="CV247" s="179"/>
      <c r="CW247" s="179"/>
      <c r="CX247" s="179"/>
      <c r="CY247" s="179"/>
      <c r="CZ247" s="179"/>
      <c r="DA247" s="179"/>
      <c r="DB247" s="179"/>
      <c r="DC247" s="179"/>
      <c r="DD247" s="179"/>
      <c r="DE247" s="179"/>
      <c r="DF247" s="179"/>
      <c r="DG247" s="179"/>
      <c r="DH247" s="179"/>
      <c r="DI247" s="179"/>
      <c r="DJ247" s="179"/>
      <c r="DK247" s="179"/>
      <c r="DL247" s="179"/>
      <c r="DM247" s="179"/>
      <c r="DN247" s="179"/>
      <c r="DO247" s="179"/>
      <c r="DP247" s="179"/>
      <c r="DQ247" s="179"/>
      <c r="DR247" s="179"/>
      <c r="DS247" s="179"/>
      <c r="DT247" s="179"/>
      <c r="DU247" s="179"/>
      <c r="DV247" s="179"/>
      <c r="DW247" s="179"/>
      <c r="DX247" s="179"/>
      <c r="DY247" s="179"/>
      <c r="DZ247" s="179"/>
      <c r="EA247" s="179"/>
      <c r="EB247" s="179"/>
      <c r="EC247" s="179"/>
      <c r="ED247" s="179"/>
      <c r="EE247" s="179"/>
      <c r="EF247" s="179"/>
      <c r="EG247" s="179"/>
      <c r="EH247" s="179"/>
      <c r="EI247" s="179"/>
      <c r="EJ247" s="179"/>
      <c r="EK247" s="179"/>
      <c r="EL247" s="179"/>
      <c r="EM247" s="179"/>
      <c r="EN247" s="179"/>
      <c r="EO247" s="179"/>
      <c r="EP247" s="179"/>
      <c r="EQ247" s="179"/>
      <c r="ER247" s="179"/>
      <c r="ES247" s="179"/>
      <c r="ET247" s="179"/>
      <c r="EU247" s="179"/>
      <c r="EV247" s="179"/>
      <c r="EW247" s="179"/>
      <c r="EX247" s="179"/>
      <c r="EY247" s="179"/>
      <c r="EZ247" s="179"/>
      <c r="FA247" s="179"/>
      <c r="FB247" s="179"/>
      <c r="FC247" s="179"/>
      <c r="FD247" s="179"/>
      <c r="FE247" s="179"/>
      <c r="FF247" s="179"/>
      <c r="FG247" s="179"/>
      <c r="FH247" s="179"/>
      <c r="FI247" s="179"/>
      <c r="FJ247" s="179"/>
      <c r="FK247" s="179"/>
      <c r="FL247" s="179"/>
      <c r="FM247" s="179"/>
      <c r="FN247" s="179"/>
      <c r="FO247" s="179"/>
      <c r="FP247" s="179"/>
      <c r="FQ247" s="179"/>
      <c r="FR247" s="179"/>
      <c r="FS247" s="179"/>
      <c r="FT247" s="179"/>
      <c r="FU247" s="179"/>
      <c r="FV247" s="179"/>
      <c r="FW247" s="179"/>
      <c r="FX247" s="179"/>
      <c r="FY247" s="179"/>
      <c r="FZ247" s="179"/>
      <c r="GA247" s="179"/>
      <c r="GB247" s="179"/>
      <c r="GC247" s="179"/>
      <c r="GD247" s="179"/>
      <c r="GE247" s="179"/>
      <c r="GF247" s="179"/>
      <c r="GG247" s="179"/>
      <c r="GH247" s="179"/>
      <c r="GI247" s="179"/>
      <c r="GJ247" s="179"/>
      <c r="GK247" s="179"/>
      <c r="GL247" s="179"/>
      <c r="GM247" s="179"/>
      <c r="GN247" s="179"/>
      <c r="GO247" s="179"/>
      <c r="GP247" s="179"/>
      <c r="GQ247" s="179"/>
      <c r="GR247" s="179"/>
      <c r="GS247" s="179"/>
      <c r="GT247" s="179"/>
      <c r="GU247" s="179"/>
      <c r="GV247" s="179"/>
      <c r="GW247" s="179"/>
      <c r="GX247" s="179"/>
      <c r="GY247" s="179"/>
      <c r="GZ247" s="179"/>
      <c r="HA247" s="179"/>
      <c r="HB247" s="179"/>
      <c r="HC247" s="179"/>
      <c r="HD247" s="179"/>
      <c r="HE247" s="179"/>
      <c r="HF247" s="179"/>
      <c r="HG247" s="179"/>
      <c r="HH247" s="179"/>
      <c r="HI247" s="179"/>
      <c r="HJ247" s="179"/>
      <c r="HK247" s="179"/>
      <c r="HL247" s="179"/>
      <c r="HM247" s="179"/>
      <c r="HN247" s="179"/>
      <c r="HO247" s="179"/>
      <c r="HP247" s="179"/>
      <c r="HQ247" s="179"/>
      <c r="HR247" s="179"/>
      <c r="HS247" s="179"/>
      <c r="HT247" s="179"/>
      <c r="HU247" s="179"/>
      <c r="HV247" s="179"/>
      <c r="HW247" s="179"/>
      <c r="HX247" s="179"/>
      <c r="HY247" s="179"/>
      <c r="HZ247" s="179"/>
      <c r="IA247" s="179"/>
      <c r="IB247" s="179"/>
      <c r="IC247" s="179"/>
      <c r="ID247" s="179"/>
      <c r="IE247" s="179"/>
      <c r="IF247" s="179"/>
      <c r="IG247" s="179"/>
      <c r="IH247" s="179"/>
      <c r="II247" s="179"/>
      <c r="IJ247" s="179"/>
      <c r="IK247" s="179"/>
      <c r="IL247" s="179"/>
      <c r="IM247" s="179"/>
      <c r="IN247" s="179"/>
      <c r="IO247" s="179"/>
      <c r="IP247" s="179"/>
      <c r="IQ247" s="179"/>
      <c r="IR247" s="179"/>
      <c r="IS247" s="179"/>
    </row>
    <row r="248" spans="1:253">
      <c r="A248" s="325" t="s">
        <v>1603</v>
      </c>
      <c r="B248" s="194">
        <f>(51139.49+2095.2)*1.4</f>
        <v>74528.565999999992</v>
      </c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  <c r="BA248" s="179"/>
      <c r="BB248" s="179"/>
      <c r="BC248" s="179"/>
      <c r="BD248" s="179"/>
      <c r="BE248" s="179"/>
      <c r="BF248" s="179"/>
      <c r="BG248" s="179"/>
      <c r="BH248" s="179"/>
      <c r="BI248" s="179"/>
      <c r="BJ248" s="179"/>
      <c r="BK248" s="179"/>
      <c r="BL248" s="179"/>
      <c r="BM248" s="179"/>
      <c r="BN248" s="179"/>
      <c r="BO248" s="179"/>
      <c r="BP248" s="179"/>
      <c r="BQ248" s="179"/>
      <c r="BR248" s="179"/>
      <c r="BS248" s="179"/>
      <c r="BT248" s="179"/>
      <c r="BU248" s="179"/>
      <c r="BV248" s="179"/>
      <c r="BW248" s="179"/>
      <c r="BX248" s="179"/>
      <c r="BY248" s="179"/>
      <c r="BZ248" s="179"/>
      <c r="CA248" s="179"/>
      <c r="CB248" s="179"/>
      <c r="CC248" s="179"/>
      <c r="CD248" s="179"/>
      <c r="CE248" s="179"/>
      <c r="CF248" s="179"/>
      <c r="CG248" s="179"/>
      <c r="CH248" s="179"/>
      <c r="CI248" s="179"/>
      <c r="CJ248" s="179"/>
      <c r="CK248" s="179"/>
      <c r="CL248" s="179"/>
      <c r="CM248" s="179"/>
      <c r="CN248" s="179"/>
      <c r="CO248" s="179"/>
      <c r="CP248" s="179"/>
      <c r="CQ248" s="179"/>
      <c r="CR248" s="179"/>
      <c r="CS248" s="179"/>
      <c r="CT248" s="179"/>
      <c r="CU248" s="179"/>
      <c r="CV248" s="179"/>
      <c r="CW248" s="179"/>
      <c r="CX248" s="179"/>
      <c r="CY248" s="179"/>
      <c r="CZ248" s="179"/>
      <c r="DA248" s="179"/>
      <c r="DB248" s="179"/>
      <c r="DC248" s="179"/>
      <c r="DD248" s="179"/>
      <c r="DE248" s="179"/>
      <c r="DF248" s="179"/>
      <c r="DG248" s="179"/>
      <c r="DH248" s="179"/>
      <c r="DI248" s="179"/>
      <c r="DJ248" s="179"/>
      <c r="DK248" s="179"/>
      <c r="DL248" s="179"/>
      <c r="DM248" s="179"/>
      <c r="DN248" s="179"/>
      <c r="DO248" s="179"/>
      <c r="DP248" s="179"/>
      <c r="DQ248" s="179"/>
      <c r="DR248" s="179"/>
      <c r="DS248" s="179"/>
      <c r="DT248" s="179"/>
      <c r="DU248" s="179"/>
      <c r="DV248" s="179"/>
      <c r="DW248" s="179"/>
      <c r="DX248" s="179"/>
      <c r="DY248" s="179"/>
      <c r="DZ248" s="179"/>
      <c r="EA248" s="179"/>
      <c r="EB248" s="179"/>
      <c r="EC248" s="179"/>
      <c r="ED248" s="179"/>
      <c r="EE248" s="179"/>
      <c r="EF248" s="179"/>
      <c r="EG248" s="179"/>
      <c r="EH248" s="179"/>
      <c r="EI248" s="179"/>
      <c r="EJ248" s="179"/>
      <c r="EK248" s="179"/>
      <c r="EL248" s="179"/>
      <c r="EM248" s="179"/>
      <c r="EN248" s="179"/>
      <c r="EO248" s="179"/>
      <c r="EP248" s="179"/>
      <c r="EQ248" s="179"/>
      <c r="ER248" s="179"/>
      <c r="ES248" s="179"/>
      <c r="ET248" s="179"/>
      <c r="EU248" s="179"/>
      <c r="EV248" s="179"/>
      <c r="EW248" s="179"/>
      <c r="EX248" s="179"/>
      <c r="EY248" s="179"/>
      <c r="EZ248" s="179"/>
      <c r="FA248" s="179"/>
      <c r="FB248" s="179"/>
      <c r="FC248" s="179"/>
      <c r="FD248" s="179"/>
      <c r="FE248" s="179"/>
      <c r="FF248" s="179"/>
      <c r="FG248" s="179"/>
      <c r="FH248" s="179"/>
      <c r="FI248" s="179"/>
      <c r="FJ248" s="179"/>
      <c r="FK248" s="179"/>
      <c r="FL248" s="179"/>
      <c r="FM248" s="179"/>
      <c r="FN248" s="179"/>
      <c r="FO248" s="179"/>
      <c r="FP248" s="179"/>
      <c r="FQ248" s="179"/>
      <c r="FR248" s="179"/>
      <c r="FS248" s="179"/>
      <c r="FT248" s="179"/>
      <c r="FU248" s="179"/>
      <c r="FV248" s="179"/>
      <c r="FW248" s="179"/>
      <c r="FX248" s="179"/>
      <c r="FY248" s="179"/>
      <c r="FZ248" s="179"/>
      <c r="GA248" s="179"/>
      <c r="GB248" s="179"/>
      <c r="GC248" s="179"/>
      <c r="GD248" s="179"/>
      <c r="GE248" s="179"/>
      <c r="GF248" s="179"/>
      <c r="GG248" s="179"/>
      <c r="GH248" s="179"/>
      <c r="GI248" s="179"/>
      <c r="GJ248" s="179"/>
      <c r="GK248" s="179"/>
      <c r="GL248" s="179"/>
      <c r="GM248" s="179"/>
      <c r="GN248" s="179"/>
      <c r="GO248" s="179"/>
      <c r="GP248" s="179"/>
      <c r="GQ248" s="179"/>
      <c r="GR248" s="179"/>
      <c r="GS248" s="179"/>
      <c r="GT248" s="179"/>
      <c r="GU248" s="179"/>
      <c r="GV248" s="179"/>
      <c r="GW248" s="179"/>
      <c r="GX248" s="179"/>
      <c r="GY248" s="179"/>
      <c r="GZ248" s="179"/>
      <c r="HA248" s="179"/>
      <c r="HB248" s="179"/>
      <c r="HC248" s="179"/>
      <c r="HD248" s="179"/>
      <c r="HE248" s="179"/>
      <c r="HF248" s="179"/>
      <c r="HG248" s="179"/>
      <c r="HH248" s="179"/>
      <c r="HI248" s="179"/>
      <c r="HJ248" s="179"/>
      <c r="HK248" s="179"/>
      <c r="HL248" s="179"/>
      <c r="HM248" s="179"/>
      <c r="HN248" s="179"/>
      <c r="HO248" s="179"/>
      <c r="HP248" s="179"/>
      <c r="HQ248" s="179"/>
      <c r="HR248" s="179"/>
      <c r="HS248" s="179"/>
      <c r="HT248" s="179"/>
      <c r="HU248" s="179"/>
      <c r="HV248" s="179"/>
      <c r="HW248" s="179"/>
      <c r="HX248" s="179"/>
      <c r="HY248" s="179"/>
      <c r="HZ248" s="179"/>
      <c r="IA248" s="179"/>
      <c r="IB248" s="179"/>
      <c r="IC248" s="179"/>
      <c r="ID248" s="179"/>
      <c r="IE248" s="179"/>
      <c r="IF248" s="179"/>
      <c r="IG248" s="179"/>
      <c r="IH248" s="179"/>
      <c r="II248" s="179"/>
      <c r="IJ248" s="179"/>
      <c r="IK248" s="179"/>
      <c r="IL248" s="179"/>
      <c r="IM248" s="179"/>
      <c r="IN248" s="179"/>
      <c r="IO248" s="179"/>
      <c r="IP248" s="179"/>
      <c r="IQ248" s="179"/>
      <c r="IR248" s="179"/>
      <c r="IS248" s="179"/>
    </row>
    <row r="249" spans="1:253">
      <c r="A249" s="325" t="s">
        <v>724</v>
      </c>
      <c r="B249" s="194">
        <f>10727.65*1.4</f>
        <v>15018.71</v>
      </c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79"/>
      <c r="BA249" s="179"/>
      <c r="BB249" s="179"/>
      <c r="BC249" s="179"/>
      <c r="BD249" s="179"/>
      <c r="BE249" s="179"/>
      <c r="BF249" s="179"/>
      <c r="BG249" s="179"/>
      <c r="BH249" s="179"/>
      <c r="BI249" s="179"/>
      <c r="BJ249" s="179"/>
      <c r="BK249" s="179"/>
      <c r="BL249" s="179"/>
      <c r="BM249" s="179"/>
      <c r="BN249" s="179"/>
      <c r="BO249" s="179"/>
      <c r="BP249" s="179"/>
      <c r="BQ249" s="179"/>
      <c r="BR249" s="179"/>
      <c r="BS249" s="179"/>
      <c r="BT249" s="179"/>
      <c r="BU249" s="179"/>
      <c r="BV249" s="179"/>
      <c r="BW249" s="179"/>
      <c r="BX249" s="179"/>
      <c r="BY249" s="179"/>
      <c r="BZ249" s="179"/>
      <c r="CA249" s="179"/>
      <c r="CB249" s="179"/>
      <c r="CC249" s="179"/>
      <c r="CD249" s="179"/>
      <c r="CE249" s="179"/>
      <c r="CF249" s="179"/>
      <c r="CG249" s="179"/>
      <c r="CH249" s="179"/>
      <c r="CI249" s="179"/>
      <c r="CJ249" s="179"/>
      <c r="CK249" s="179"/>
      <c r="CL249" s="179"/>
      <c r="CM249" s="179"/>
      <c r="CN249" s="179"/>
      <c r="CO249" s="179"/>
      <c r="CP249" s="179"/>
      <c r="CQ249" s="179"/>
      <c r="CR249" s="179"/>
      <c r="CS249" s="179"/>
      <c r="CT249" s="179"/>
      <c r="CU249" s="179"/>
      <c r="CV249" s="179"/>
      <c r="CW249" s="179"/>
      <c r="CX249" s="179"/>
      <c r="CY249" s="179"/>
      <c r="CZ249" s="179"/>
      <c r="DA249" s="179"/>
      <c r="DB249" s="179"/>
      <c r="DC249" s="179"/>
      <c r="DD249" s="179"/>
      <c r="DE249" s="179"/>
      <c r="DF249" s="179"/>
      <c r="DG249" s="179"/>
      <c r="DH249" s="179"/>
      <c r="DI249" s="179"/>
      <c r="DJ249" s="179"/>
      <c r="DK249" s="179"/>
      <c r="DL249" s="179"/>
      <c r="DM249" s="179"/>
      <c r="DN249" s="179"/>
      <c r="DO249" s="179"/>
      <c r="DP249" s="179"/>
      <c r="DQ249" s="179"/>
      <c r="DR249" s="179"/>
      <c r="DS249" s="179"/>
      <c r="DT249" s="179"/>
      <c r="DU249" s="179"/>
      <c r="DV249" s="179"/>
      <c r="DW249" s="179"/>
      <c r="DX249" s="179"/>
      <c r="DY249" s="179"/>
      <c r="DZ249" s="179"/>
      <c r="EA249" s="179"/>
      <c r="EB249" s="179"/>
      <c r="EC249" s="179"/>
      <c r="ED249" s="179"/>
      <c r="EE249" s="179"/>
      <c r="EF249" s="179"/>
      <c r="EG249" s="179"/>
      <c r="EH249" s="179"/>
      <c r="EI249" s="179"/>
      <c r="EJ249" s="179"/>
      <c r="EK249" s="179"/>
      <c r="EL249" s="179"/>
      <c r="EM249" s="179"/>
      <c r="EN249" s="179"/>
      <c r="EO249" s="179"/>
      <c r="EP249" s="179"/>
      <c r="EQ249" s="179"/>
      <c r="ER249" s="179"/>
      <c r="ES249" s="179"/>
      <c r="ET249" s="179"/>
      <c r="EU249" s="179"/>
      <c r="EV249" s="179"/>
      <c r="EW249" s="179"/>
      <c r="EX249" s="179"/>
      <c r="EY249" s="179"/>
      <c r="EZ249" s="179"/>
      <c r="FA249" s="179"/>
      <c r="FB249" s="179"/>
      <c r="FC249" s="179"/>
      <c r="FD249" s="179"/>
      <c r="FE249" s="179"/>
      <c r="FF249" s="179"/>
      <c r="FG249" s="179"/>
      <c r="FH249" s="179"/>
      <c r="FI249" s="179"/>
      <c r="FJ249" s="179"/>
      <c r="FK249" s="179"/>
      <c r="FL249" s="179"/>
      <c r="FM249" s="179"/>
      <c r="FN249" s="179"/>
      <c r="FO249" s="179"/>
      <c r="FP249" s="179"/>
      <c r="FQ249" s="179"/>
      <c r="FR249" s="179"/>
      <c r="FS249" s="179"/>
      <c r="FT249" s="179"/>
      <c r="FU249" s="179"/>
      <c r="FV249" s="179"/>
      <c r="FW249" s="179"/>
      <c r="FX249" s="179"/>
      <c r="FY249" s="179"/>
      <c r="FZ249" s="179"/>
      <c r="GA249" s="179"/>
      <c r="GB249" s="179"/>
      <c r="GC249" s="179"/>
      <c r="GD249" s="179"/>
      <c r="GE249" s="179"/>
      <c r="GF249" s="179"/>
      <c r="GG249" s="179"/>
      <c r="GH249" s="179"/>
      <c r="GI249" s="179"/>
      <c r="GJ249" s="179"/>
      <c r="GK249" s="179"/>
      <c r="GL249" s="179"/>
      <c r="GM249" s="179"/>
      <c r="GN249" s="179"/>
      <c r="GO249" s="179"/>
      <c r="GP249" s="179"/>
      <c r="GQ249" s="179"/>
      <c r="GR249" s="179"/>
      <c r="GS249" s="179"/>
      <c r="GT249" s="179"/>
      <c r="GU249" s="179"/>
      <c r="GV249" s="179"/>
      <c r="GW249" s="179"/>
      <c r="GX249" s="179"/>
      <c r="GY249" s="179"/>
      <c r="GZ249" s="179"/>
      <c r="HA249" s="179"/>
      <c r="HB249" s="179"/>
      <c r="HC249" s="179"/>
      <c r="HD249" s="179"/>
      <c r="HE249" s="179"/>
      <c r="HF249" s="179"/>
      <c r="HG249" s="179"/>
      <c r="HH249" s="179"/>
      <c r="HI249" s="179"/>
      <c r="HJ249" s="179"/>
      <c r="HK249" s="179"/>
      <c r="HL249" s="179"/>
      <c r="HM249" s="179"/>
      <c r="HN249" s="179"/>
      <c r="HO249" s="179"/>
      <c r="HP249" s="179"/>
      <c r="HQ249" s="179"/>
      <c r="HR249" s="179"/>
      <c r="HS249" s="179"/>
      <c r="HT249" s="179"/>
      <c r="HU249" s="179"/>
      <c r="HV249" s="179"/>
      <c r="HW249" s="179"/>
      <c r="HX249" s="179"/>
      <c r="HY249" s="179"/>
      <c r="HZ249" s="179"/>
      <c r="IA249" s="179"/>
      <c r="IB249" s="179"/>
      <c r="IC249" s="179"/>
      <c r="ID249" s="179"/>
      <c r="IE249" s="179"/>
      <c r="IF249" s="179"/>
      <c r="IG249" s="179"/>
      <c r="IH249" s="179"/>
      <c r="II249" s="179"/>
      <c r="IJ249" s="179"/>
      <c r="IK249" s="179"/>
      <c r="IL249" s="179"/>
      <c r="IM249" s="179"/>
      <c r="IN249" s="179"/>
      <c r="IO249" s="179"/>
      <c r="IP249" s="179"/>
      <c r="IQ249" s="179"/>
      <c r="IR249" s="179"/>
      <c r="IS249" s="179"/>
    </row>
    <row r="250" spans="1:253">
      <c r="A250" s="325" t="s">
        <v>3819</v>
      </c>
      <c r="B250" s="194">
        <f>2300*12</f>
        <v>27600</v>
      </c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179"/>
      <c r="AZ250" s="179"/>
      <c r="BA250" s="179"/>
      <c r="BB250" s="179"/>
      <c r="BC250" s="179"/>
      <c r="BD250" s="179"/>
      <c r="BE250" s="179"/>
      <c r="BF250" s="179"/>
      <c r="BG250" s="179"/>
      <c r="BH250" s="179"/>
      <c r="BI250" s="179"/>
      <c r="BJ250" s="179"/>
      <c r="BK250" s="179"/>
      <c r="BL250" s="179"/>
      <c r="BM250" s="179"/>
      <c r="BN250" s="179"/>
      <c r="BO250" s="179"/>
      <c r="BP250" s="179"/>
      <c r="BQ250" s="179"/>
      <c r="BR250" s="179"/>
      <c r="BS250" s="179"/>
      <c r="BT250" s="179"/>
      <c r="BU250" s="179"/>
      <c r="BV250" s="179"/>
      <c r="BW250" s="179"/>
      <c r="BX250" s="179"/>
      <c r="BY250" s="179"/>
      <c r="BZ250" s="179"/>
      <c r="CA250" s="179"/>
      <c r="CB250" s="179"/>
      <c r="CC250" s="179"/>
      <c r="CD250" s="179"/>
      <c r="CE250" s="179"/>
      <c r="CF250" s="179"/>
      <c r="CG250" s="179"/>
      <c r="CH250" s="179"/>
      <c r="CI250" s="179"/>
      <c r="CJ250" s="179"/>
      <c r="CK250" s="179"/>
      <c r="CL250" s="179"/>
      <c r="CM250" s="179"/>
      <c r="CN250" s="179"/>
      <c r="CO250" s="179"/>
      <c r="CP250" s="179"/>
      <c r="CQ250" s="179"/>
      <c r="CR250" s="179"/>
      <c r="CS250" s="179"/>
      <c r="CT250" s="179"/>
      <c r="CU250" s="179"/>
      <c r="CV250" s="179"/>
      <c r="CW250" s="179"/>
      <c r="CX250" s="179"/>
      <c r="CY250" s="179"/>
      <c r="CZ250" s="179"/>
      <c r="DA250" s="179"/>
      <c r="DB250" s="179"/>
      <c r="DC250" s="179"/>
      <c r="DD250" s="179"/>
      <c r="DE250" s="179"/>
      <c r="DF250" s="179"/>
      <c r="DG250" s="179"/>
      <c r="DH250" s="179"/>
      <c r="DI250" s="179"/>
      <c r="DJ250" s="179"/>
      <c r="DK250" s="179"/>
      <c r="DL250" s="179"/>
      <c r="DM250" s="179"/>
      <c r="DN250" s="179"/>
      <c r="DO250" s="179"/>
      <c r="DP250" s="179"/>
      <c r="DQ250" s="179"/>
      <c r="DR250" s="179"/>
      <c r="DS250" s="179"/>
      <c r="DT250" s="179"/>
      <c r="DU250" s="179"/>
      <c r="DV250" s="179"/>
      <c r="DW250" s="179"/>
      <c r="DX250" s="179"/>
      <c r="DY250" s="179"/>
      <c r="DZ250" s="179"/>
      <c r="EA250" s="179"/>
      <c r="EB250" s="179"/>
      <c r="EC250" s="179"/>
      <c r="ED250" s="179"/>
      <c r="EE250" s="179"/>
      <c r="EF250" s="179"/>
      <c r="EG250" s="179"/>
      <c r="EH250" s="179"/>
      <c r="EI250" s="179"/>
      <c r="EJ250" s="179"/>
      <c r="EK250" s="179"/>
      <c r="EL250" s="179"/>
      <c r="EM250" s="179"/>
      <c r="EN250" s="179"/>
      <c r="EO250" s="179"/>
      <c r="EP250" s="179"/>
      <c r="EQ250" s="179"/>
      <c r="ER250" s="179"/>
      <c r="ES250" s="179"/>
      <c r="ET250" s="179"/>
      <c r="EU250" s="179"/>
      <c r="EV250" s="179"/>
      <c r="EW250" s="179"/>
      <c r="EX250" s="179"/>
      <c r="EY250" s="179"/>
      <c r="EZ250" s="179"/>
      <c r="FA250" s="179"/>
      <c r="FB250" s="179"/>
      <c r="FC250" s="179"/>
      <c r="FD250" s="179"/>
      <c r="FE250" s="179"/>
      <c r="FF250" s="179"/>
      <c r="FG250" s="179"/>
      <c r="FH250" s="179"/>
      <c r="FI250" s="179"/>
      <c r="FJ250" s="179"/>
      <c r="FK250" s="179"/>
      <c r="FL250" s="179"/>
      <c r="FM250" s="179"/>
      <c r="FN250" s="179"/>
      <c r="FO250" s="179"/>
      <c r="FP250" s="179"/>
      <c r="FQ250" s="179"/>
      <c r="FR250" s="179"/>
      <c r="FS250" s="179"/>
      <c r="FT250" s="179"/>
      <c r="FU250" s="179"/>
      <c r="FV250" s="179"/>
      <c r="FW250" s="179"/>
      <c r="FX250" s="179"/>
      <c r="FY250" s="179"/>
      <c r="FZ250" s="179"/>
      <c r="GA250" s="179"/>
      <c r="GB250" s="179"/>
      <c r="GC250" s="179"/>
      <c r="GD250" s="179"/>
      <c r="GE250" s="179"/>
      <c r="GF250" s="179"/>
      <c r="GG250" s="179"/>
      <c r="GH250" s="179"/>
      <c r="GI250" s="179"/>
      <c r="GJ250" s="179"/>
      <c r="GK250" s="179"/>
      <c r="GL250" s="179"/>
      <c r="GM250" s="179"/>
      <c r="GN250" s="179"/>
      <c r="GO250" s="179"/>
      <c r="GP250" s="179"/>
      <c r="GQ250" s="179"/>
      <c r="GR250" s="179"/>
      <c r="GS250" s="179"/>
      <c r="GT250" s="179"/>
      <c r="GU250" s="179"/>
      <c r="GV250" s="179"/>
      <c r="GW250" s="179"/>
      <c r="GX250" s="179"/>
      <c r="GY250" s="179"/>
      <c r="GZ250" s="179"/>
      <c r="HA250" s="179"/>
      <c r="HB250" s="179"/>
      <c r="HC250" s="179"/>
      <c r="HD250" s="179"/>
      <c r="HE250" s="179"/>
      <c r="HF250" s="179"/>
      <c r="HG250" s="179"/>
      <c r="HH250" s="179"/>
      <c r="HI250" s="179"/>
      <c r="HJ250" s="179"/>
      <c r="HK250" s="179"/>
      <c r="HL250" s="179"/>
      <c r="HM250" s="179"/>
      <c r="HN250" s="179"/>
      <c r="HO250" s="179"/>
      <c r="HP250" s="179"/>
      <c r="HQ250" s="179"/>
      <c r="HR250" s="179"/>
      <c r="HS250" s="179"/>
      <c r="HT250" s="179"/>
      <c r="HU250" s="179"/>
      <c r="HV250" s="179"/>
      <c r="HW250" s="179"/>
      <c r="HX250" s="179"/>
      <c r="HY250" s="179"/>
      <c r="HZ250" s="179"/>
      <c r="IA250" s="179"/>
      <c r="IB250" s="179"/>
      <c r="IC250" s="179"/>
      <c r="ID250" s="179"/>
      <c r="IE250" s="179"/>
      <c r="IF250" s="179"/>
      <c r="IG250" s="179"/>
      <c r="IH250" s="179"/>
      <c r="II250" s="179"/>
      <c r="IJ250" s="179"/>
      <c r="IK250" s="179"/>
      <c r="IL250" s="179"/>
      <c r="IM250" s="179"/>
      <c r="IN250" s="179"/>
      <c r="IO250" s="179"/>
      <c r="IP250" s="179"/>
      <c r="IQ250" s="179"/>
      <c r="IR250" s="179"/>
      <c r="IS250" s="179"/>
    </row>
    <row r="251" spans="1:253">
      <c r="A251" s="325" t="s">
        <v>1599</v>
      </c>
      <c r="B251" s="194">
        <v>438784.12</v>
      </c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179"/>
      <c r="AG251" s="179"/>
      <c r="AH251" s="179"/>
      <c r="AI251" s="179"/>
      <c r="AJ251" s="179"/>
      <c r="AK251" s="179"/>
      <c r="AL251" s="179"/>
      <c r="AM251" s="179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79"/>
      <c r="AZ251" s="179"/>
      <c r="BA251" s="179"/>
      <c r="BB251" s="179"/>
      <c r="BC251" s="179"/>
      <c r="BD251" s="179"/>
      <c r="BE251" s="179"/>
      <c r="BF251" s="179"/>
      <c r="BG251" s="179"/>
      <c r="BH251" s="179"/>
      <c r="BI251" s="179"/>
      <c r="BJ251" s="179"/>
      <c r="BK251" s="179"/>
      <c r="BL251" s="179"/>
      <c r="BM251" s="179"/>
      <c r="BN251" s="179"/>
      <c r="BO251" s="179"/>
      <c r="BP251" s="179"/>
      <c r="BQ251" s="179"/>
      <c r="BR251" s="179"/>
      <c r="BS251" s="179"/>
      <c r="BT251" s="179"/>
      <c r="BU251" s="179"/>
      <c r="BV251" s="179"/>
      <c r="BW251" s="179"/>
      <c r="BX251" s="179"/>
      <c r="BY251" s="179"/>
      <c r="BZ251" s="179"/>
      <c r="CA251" s="179"/>
      <c r="CB251" s="179"/>
      <c r="CC251" s="179"/>
      <c r="CD251" s="179"/>
      <c r="CE251" s="179"/>
      <c r="CF251" s="179"/>
      <c r="CG251" s="179"/>
      <c r="CH251" s="179"/>
      <c r="CI251" s="179"/>
      <c r="CJ251" s="179"/>
      <c r="CK251" s="179"/>
      <c r="CL251" s="179"/>
      <c r="CM251" s="179"/>
      <c r="CN251" s="179"/>
      <c r="CO251" s="179"/>
      <c r="CP251" s="179"/>
      <c r="CQ251" s="179"/>
      <c r="CR251" s="179"/>
      <c r="CS251" s="179"/>
      <c r="CT251" s="179"/>
      <c r="CU251" s="179"/>
      <c r="CV251" s="179"/>
      <c r="CW251" s="179"/>
      <c r="CX251" s="179"/>
      <c r="CY251" s="179"/>
      <c r="CZ251" s="179"/>
      <c r="DA251" s="179"/>
      <c r="DB251" s="179"/>
      <c r="DC251" s="179"/>
      <c r="DD251" s="179"/>
      <c r="DE251" s="179"/>
      <c r="DF251" s="179"/>
      <c r="DG251" s="179"/>
      <c r="DH251" s="179"/>
      <c r="DI251" s="179"/>
      <c r="DJ251" s="179"/>
      <c r="DK251" s="179"/>
      <c r="DL251" s="179"/>
      <c r="DM251" s="179"/>
      <c r="DN251" s="179"/>
      <c r="DO251" s="179"/>
      <c r="DP251" s="179"/>
      <c r="DQ251" s="179"/>
      <c r="DR251" s="179"/>
      <c r="DS251" s="179"/>
      <c r="DT251" s="179"/>
      <c r="DU251" s="179"/>
      <c r="DV251" s="179"/>
      <c r="DW251" s="179"/>
      <c r="DX251" s="179"/>
      <c r="DY251" s="179"/>
      <c r="DZ251" s="179"/>
      <c r="EA251" s="179"/>
      <c r="EB251" s="179"/>
      <c r="EC251" s="179"/>
      <c r="ED251" s="179"/>
      <c r="EE251" s="179"/>
      <c r="EF251" s="179"/>
      <c r="EG251" s="179"/>
      <c r="EH251" s="179"/>
      <c r="EI251" s="179"/>
      <c r="EJ251" s="179"/>
      <c r="EK251" s="179"/>
      <c r="EL251" s="179"/>
      <c r="EM251" s="179"/>
      <c r="EN251" s="179"/>
      <c r="EO251" s="179"/>
      <c r="EP251" s="179"/>
      <c r="EQ251" s="179"/>
      <c r="ER251" s="179"/>
      <c r="ES251" s="179"/>
      <c r="ET251" s="179"/>
      <c r="EU251" s="179"/>
      <c r="EV251" s="179"/>
      <c r="EW251" s="179"/>
      <c r="EX251" s="179"/>
      <c r="EY251" s="179"/>
      <c r="EZ251" s="179"/>
      <c r="FA251" s="179"/>
      <c r="FB251" s="179"/>
      <c r="FC251" s="179"/>
      <c r="FD251" s="179"/>
      <c r="FE251" s="179"/>
      <c r="FF251" s="179"/>
      <c r="FG251" s="179"/>
      <c r="FH251" s="179"/>
      <c r="FI251" s="179"/>
      <c r="FJ251" s="179"/>
      <c r="FK251" s="179"/>
      <c r="FL251" s="179"/>
      <c r="FM251" s="179"/>
      <c r="FN251" s="179"/>
      <c r="FO251" s="179"/>
      <c r="FP251" s="179"/>
      <c r="FQ251" s="179"/>
      <c r="FR251" s="179"/>
      <c r="FS251" s="179"/>
      <c r="FT251" s="179"/>
      <c r="FU251" s="179"/>
      <c r="FV251" s="179"/>
      <c r="FW251" s="179"/>
      <c r="FX251" s="179"/>
      <c r="FY251" s="179"/>
      <c r="FZ251" s="179"/>
      <c r="GA251" s="179"/>
      <c r="GB251" s="179"/>
      <c r="GC251" s="179"/>
      <c r="GD251" s="179"/>
      <c r="GE251" s="179"/>
      <c r="GF251" s="179"/>
      <c r="GG251" s="179"/>
      <c r="GH251" s="179"/>
      <c r="GI251" s="179"/>
      <c r="GJ251" s="179"/>
      <c r="GK251" s="179"/>
      <c r="GL251" s="179"/>
      <c r="GM251" s="179"/>
      <c r="GN251" s="179"/>
      <c r="GO251" s="179"/>
      <c r="GP251" s="179"/>
      <c r="GQ251" s="179"/>
      <c r="GR251" s="179"/>
      <c r="GS251" s="179"/>
      <c r="GT251" s="179"/>
      <c r="GU251" s="179"/>
      <c r="GV251" s="179"/>
      <c r="GW251" s="179"/>
      <c r="GX251" s="179"/>
      <c r="GY251" s="179"/>
      <c r="GZ251" s="179"/>
      <c r="HA251" s="179"/>
      <c r="HB251" s="179"/>
      <c r="HC251" s="179"/>
      <c r="HD251" s="179"/>
      <c r="HE251" s="179"/>
      <c r="HF251" s="179"/>
      <c r="HG251" s="179"/>
      <c r="HH251" s="179"/>
      <c r="HI251" s="179"/>
      <c r="HJ251" s="179"/>
      <c r="HK251" s="179"/>
      <c r="HL251" s="179"/>
      <c r="HM251" s="179"/>
      <c r="HN251" s="179"/>
      <c r="HO251" s="179"/>
      <c r="HP251" s="179"/>
      <c r="HQ251" s="179"/>
      <c r="HR251" s="179"/>
      <c r="HS251" s="179"/>
      <c r="HT251" s="179"/>
      <c r="HU251" s="179"/>
      <c r="HV251" s="179"/>
      <c r="HW251" s="179"/>
      <c r="HX251" s="179"/>
      <c r="HY251" s="179"/>
      <c r="HZ251" s="179"/>
      <c r="IA251" s="179"/>
      <c r="IB251" s="179"/>
      <c r="IC251" s="179"/>
      <c r="ID251" s="179"/>
      <c r="IE251" s="179"/>
      <c r="IF251" s="179"/>
      <c r="IG251" s="179"/>
      <c r="IH251" s="179"/>
      <c r="II251" s="179"/>
      <c r="IJ251" s="179"/>
      <c r="IK251" s="179"/>
      <c r="IL251" s="179"/>
      <c r="IM251" s="179"/>
      <c r="IN251" s="179"/>
      <c r="IO251" s="179"/>
      <c r="IP251" s="179"/>
      <c r="IQ251" s="179"/>
      <c r="IR251" s="179"/>
      <c r="IS251" s="179"/>
    </row>
    <row r="252" spans="1:253" s="75" customFormat="1">
      <c r="A252" s="542" t="s">
        <v>1613</v>
      </c>
      <c r="B252" s="194">
        <f>B237-B239-B251</f>
        <v>-461903.25718838372</v>
      </c>
      <c r="C252" s="46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197"/>
      <c r="AT252" s="197"/>
      <c r="AU252" s="197"/>
      <c r="AV252" s="197"/>
      <c r="AW252" s="197"/>
      <c r="AX252" s="197"/>
      <c r="AY252" s="197"/>
      <c r="AZ252" s="197"/>
      <c r="BA252" s="197"/>
      <c r="BB252" s="197"/>
      <c r="BC252" s="197"/>
      <c r="BD252" s="197"/>
      <c r="BE252" s="197"/>
      <c r="BF252" s="197"/>
      <c r="BG252" s="197"/>
      <c r="BH252" s="197"/>
      <c r="BI252" s="197"/>
      <c r="BJ252" s="197"/>
      <c r="BK252" s="197"/>
      <c r="BL252" s="197"/>
      <c r="BM252" s="197"/>
      <c r="BN252" s="197"/>
      <c r="BO252" s="197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  <c r="EG252" s="197"/>
      <c r="EH252" s="197"/>
      <c r="EI252" s="197"/>
      <c r="EJ252" s="197"/>
      <c r="EK252" s="197"/>
      <c r="EL252" s="197"/>
      <c r="EM252" s="197"/>
      <c r="EN252" s="197"/>
      <c r="EO252" s="197"/>
      <c r="EP252" s="197"/>
      <c r="EQ252" s="197"/>
      <c r="ER252" s="197"/>
      <c r="ES252" s="197"/>
      <c r="ET252" s="197"/>
      <c r="EU252" s="197"/>
      <c r="EV252" s="197"/>
      <c r="EW252" s="197"/>
      <c r="EX252" s="197"/>
      <c r="EY252" s="197"/>
      <c r="EZ252" s="197"/>
      <c r="FA252" s="197"/>
      <c r="FB252" s="197"/>
      <c r="FC252" s="197"/>
      <c r="FD252" s="197"/>
      <c r="FE252" s="197"/>
      <c r="FF252" s="197"/>
      <c r="FG252" s="197"/>
      <c r="FH252" s="197"/>
      <c r="FI252" s="197"/>
      <c r="FJ252" s="197"/>
      <c r="FK252" s="197"/>
      <c r="FL252" s="197"/>
      <c r="FM252" s="197"/>
      <c r="FN252" s="197"/>
      <c r="FO252" s="197"/>
      <c r="FP252" s="197"/>
      <c r="FQ252" s="197"/>
      <c r="FR252" s="197"/>
      <c r="FS252" s="197"/>
      <c r="FT252" s="197"/>
      <c r="FU252" s="197"/>
      <c r="FV252" s="197"/>
      <c r="FW252" s="197"/>
      <c r="FX252" s="197"/>
      <c r="FY252" s="197"/>
      <c r="FZ252" s="197"/>
      <c r="GA252" s="197"/>
      <c r="GB252" s="197"/>
      <c r="GC252" s="197"/>
      <c r="GD252" s="197"/>
      <c r="GE252" s="197"/>
      <c r="GF252" s="197"/>
      <c r="GG252" s="197"/>
      <c r="GH252" s="197"/>
      <c r="GI252" s="197"/>
      <c r="GJ252" s="197"/>
      <c r="GK252" s="197"/>
      <c r="GL252" s="197"/>
      <c r="GM252" s="197"/>
      <c r="GN252" s="197"/>
      <c r="GO252" s="197"/>
      <c r="GP252" s="197"/>
      <c r="GQ252" s="197"/>
      <c r="GR252" s="197"/>
      <c r="GS252" s="197"/>
      <c r="GT252" s="197"/>
      <c r="GU252" s="197"/>
      <c r="GV252" s="197"/>
      <c r="GW252" s="197"/>
      <c r="GX252" s="197"/>
      <c r="GY252" s="197"/>
      <c r="GZ252" s="197"/>
      <c r="HA252" s="197"/>
      <c r="HB252" s="197"/>
      <c r="HC252" s="197"/>
      <c r="HD252" s="197"/>
      <c r="HE252" s="197"/>
      <c r="HF252" s="197"/>
      <c r="HG252" s="197"/>
      <c r="HH252" s="197"/>
      <c r="HI252" s="197"/>
      <c r="HJ252" s="197"/>
      <c r="HK252" s="197"/>
      <c r="HL252" s="197"/>
      <c r="HM252" s="197"/>
      <c r="HN252" s="197"/>
      <c r="HO252" s="197"/>
      <c r="HP252" s="197"/>
      <c r="HQ252" s="197"/>
      <c r="HR252" s="197"/>
      <c r="HS252" s="197"/>
      <c r="HT252" s="197"/>
      <c r="HU252" s="197"/>
      <c r="HV252" s="197"/>
      <c r="HW252" s="197"/>
      <c r="HX252" s="197"/>
      <c r="HY252" s="197"/>
      <c r="HZ252" s="197"/>
      <c r="IA252" s="197"/>
      <c r="IB252" s="197"/>
      <c r="IC252" s="197"/>
      <c r="ID252" s="197"/>
      <c r="IE252" s="197"/>
      <c r="IF252" s="197"/>
      <c r="IG252" s="197"/>
      <c r="IH252" s="197"/>
      <c r="II252" s="197"/>
      <c r="IJ252" s="197"/>
      <c r="IK252" s="197"/>
      <c r="IL252" s="197"/>
      <c r="IM252" s="197"/>
      <c r="IN252" s="197"/>
      <c r="IO252" s="197"/>
      <c r="IP252" s="197"/>
    </row>
    <row r="253" spans="1:253" s="75" customFormat="1">
      <c r="A253" s="567"/>
      <c r="B253" s="568"/>
      <c r="C253" s="46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  <c r="AR253" s="197"/>
      <c r="AS253" s="197"/>
      <c r="AT253" s="197"/>
      <c r="AU253" s="197"/>
      <c r="AV253" s="197"/>
      <c r="AW253" s="197"/>
      <c r="AX253" s="197"/>
      <c r="AY253" s="197"/>
      <c r="AZ253" s="197"/>
      <c r="BA253" s="197"/>
      <c r="BB253" s="197"/>
      <c r="BC253" s="197"/>
      <c r="BD253" s="197"/>
      <c r="BE253" s="197"/>
      <c r="BF253" s="197"/>
      <c r="BG253" s="197"/>
      <c r="BH253" s="197"/>
      <c r="BI253" s="197"/>
      <c r="BJ253" s="197"/>
      <c r="BK253" s="197"/>
      <c r="BL253" s="197"/>
      <c r="BM253" s="197"/>
      <c r="BN253" s="197"/>
      <c r="BO253" s="197"/>
      <c r="BP253" s="197"/>
      <c r="BQ253" s="197"/>
      <c r="BR253" s="197"/>
      <c r="BS253" s="197"/>
      <c r="BT253" s="197"/>
      <c r="BU253" s="197"/>
      <c r="BV253" s="197"/>
      <c r="BW253" s="197"/>
      <c r="BX253" s="197"/>
      <c r="BY253" s="197"/>
      <c r="BZ253" s="197"/>
      <c r="CA253" s="197"/>
      <c r="CB253" s="197"/>
      <c r="CC253" s="197"/>
      <c r="CD253" s="197"/>
      <c r="CE253" s="197"/>
      <c r="CF253" s="197"/>
      <c r="CG253" s="197"/>
      <c r="CH253" s="197"/>
      <c r="CI253" s="197"/>
      <c r="CJ253" s="197"/>
      <c r="CK253" s="197"/>
      <c r="CL253" s="197"/>
      <c r="CM253" s="197"/>
      <c r="CN253" s="197"/>
      <c r="CO253" s="197"/>
      <c r="CP253" s="197"/>
      <c r="CQ253" s="197"/>
      <c r="CR253" s="197"/>
      <c r="CS253" s="197"/>
      <c r="CT253" s="197"/>
      <c r="CU253" s="197"/>
      <c r="CV253" s="197"/>
      <c r="CW253" s="197"/>
      <c r="CX253" s="197"/>
      <c r="CY253" s="197"/>
      <c r="CZ253" s="197"/>
      <c r="DA253" s="197"/>
      <c r="DB253" s="197"/>
      <c r="DC253" s="197"/>
      <c r="DD253" s="197"/>
      <c r="DE253" s="197"/>
      <c r="DF253" s="197"/>
      <c r="DG253" s="197"/>
      <c r="DH253" s="197"/>
      <c r="DI253" s="197"/>
      <c r="DJ253" s="197"/>
      <c r="DK253" s="197"/>
      <c r="DL253" s="197"/>
      <c r="DM253" s="197"/>
      <c r="DN253" s="197"/>
      <c r="DO253" s="197"/>
      <c r="DP253" s="197"/>
      <c r="DQ253" s="197"/>
      <c r="DR253" s="197"/>
      <c r="DS253" s="197"/>
      <c r="DT253" s="197"/>
      <c r="DU253" s="197"/>
      <c r="DV253" s="197"/>
      <c r="DW253" s="197"/>
      <c r="DX253" s="197"/>
      <c r="DY253" s="197"/>
      <c r="DZ253" s="197"/>
      <c r="EA253" s="197"/>
      <c r="EB253" s="197"/>
      <c r="EC253" s="197"/>
      <c r="ED253" s="197"/>
      <c r="EE253" s="197"/>
      <c r="EF253" s="197"/>
      <c r="EG253" s="197"/>
      <c r="EH253" s="197"/>
      <c r="EI253" s="197"/>
      <c r="EJ253" s="197"/>
      <c r="EK253" s="197"/>
      <c r="EL253" s="197"/>
      <c r="EM253" s="197"/>
      <c r="EN253" s="197"/>
      <c r="EO253" s="197"/>
      <c r="EP253" s="197"/>
      <c r="EQ253" s="197"/>
      <c r="ER253" s="197"/>
      <c r="ES253" s="197"/>
      <c r="ET253" s="197"/>
      <c r="EU253" s="197"/>
      <c r="EV253" s="197"/>
      <c r="EW253" s="197"/>
      <c r="EX253" s="197"/>
      <c r="EY253" s="197"/>
      <c r="EZ253" s="197"/>
      <c r="FA253" s="197"/>
      <c r="FB253" s="197"/>
      <c r="FC253" s="197"/>
      <c r="FD253" s="197"/>
      <c r="FE253" s="197"/>
      <c r="FF253" s="197"/>
      <c r="FG253" s="197"/>
      <c r="FH253" s="197"/>
      <c r="FI253" s="197"/>
      <c r="FJ253" s="197"/>
      <c r="FK253" s="197"/>
      <c r="FL253" s="197"/>
      <c r="FM253" s="197"/>
      <c r="FN253" s="197"/>
      <c r="FO253" s="197"/>
      <c r="FP253" s="197"/>
      <c r="FQ253" s="197"/>
      <c r="FR253" s="197"/>
      <c r="FS253" s="197"/>
      <c r="FT253" s="197"/>
      <c r="FU253" s="197"/>
      <c r="FV253" s="197"/>
      <c r="FW253" s="197"/>
      <c r="FX253" s="197"/>
      <c r="FY253" s="197"/>
      <c r="FZ253" s="197"/>
      <c r="GA253" s="197"/>
      <c r="GB253" s="197"/>
      <c r="GC253" s="197"/>
      <c r="GD253" s="197"/>
      <c r="GE253" s="197"/>
      <c r="GF253" s="197"/>
      <c r="GG253" s="197"/>
      <c r="GH253" s="197"/>
      <c r="GI253" s="197"/>
      <c r="GJ253" s="197"/>
      <c r="GK253" s="197"/>
      <c r="GL253" s="197"/>
      <c r="GM253" s="197"/>
      <c r="GN253" s="197"/>
      <c r="GO253" s="197"/>
      <c r="GP253" s="197"/>
      <c r="GQ253" s="197"/>
      <c r="GR253" s="197"/>
      <c r="GS253" s="197"/>
      <c r="GT253" s="197"/>
      <c r="GU253" s="197"/>
      <c r="GV253" s="197"/>
      <c r="GW253" s="197"/>
      <c r="GX253" s="197"/>
      <c r="GY253" s="197"/>
      <c r="GZ253" s="197"/>
      <c r="HA253" s="197"/>
      <c r="HB253" s="197"/>
      <c r="HC253" s="197"/>
      <c r="HD253" s="197"/>
      <c r="HE253" s="197"/>
      <c r="HF253" s="197"/>
      <c r="HG253" s="197"/>
      <c r="HH253" s="197"/>
      <c r="HI253" s="197"/>
      <c r="HJ253" s="197"/>
      <c r="HK253" s="197"/>
      <c r="HL253" s="197"/>
      <c r="HM253" s="197"/>
      <c r="HN253" s="197"/>
      <c r="HO253" s="197"/>
      <c r="HP253" s="197"/>
      <c r="HQ253" s="197"/>
      <c r="HR253" s="197"/>
      <c r="HS253" s="197"/>
      <c r="HT253" s="197"/>
      <c r="HU253" s="197"/>
      <c r="HV253" s="197"/>
      <c r="HW253" s="197"/>
      <c r="HX253" s="197"/>
      <c r="HY253" s="197"/>
      <c r="HZ253" s="197"/>
      <c r="IA253" s="197"/>
      <c r="IB253" s="197"/>
      <c r="IC253" s="197"/>
      <c r="ID253" s="197"/>
      <c r="IE253" s="197"/>
      <c r="IF253" s="197"/>
      <c r="IG253" s="197"/>
      <c r="IH253" s="197"/>
      <c r="II253" s="197"/>
      <c r="IJ253" s="197"/>
      <c r="IK253" s="197"/>
      <c r="IL253" s="197"/>
      <c r="IM253" s="197"/>
      <c r="IN253" s="197"/>
      <c r="IO253" s="197"/>
      <c r="IP253" s="197"/>
    </row>
    <row r="254" spans="1:253">
      <c r="A254" s="448" t="s">
        <v>605</v>
      </c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79"/>
      <c r="AE254" s="179"/>
      <c r="AF254" s="179"/>
      <c r="AG254" s="179"/>
      <c r="AH254" s="179"/>
      <c r="AI254" s="179"/>
      <c r="AJ254" s="179"/>
      <c r="AK254" s="179"/>
      <c r="AL254" s="179"/>
      <c r="AM254" s="179"/>
      <c r="AN254" s="179"/>
      <c r="AO254" s="179"/>
      <c r="AP254" s="179"/>
      <c r="AQ254" s="179"/>
      <c r="AR254" s="179"/>
      <c r="AS254" s="179"/>
      <c r="AT254" s="179"/>
      <c r="AU254" s="179"/>
      <c r="AV254" s="179"/>
      <c r="AW254" s="179"/>
      <c r="AX254" s="179"/>
      <c r="AY254" s="179"/>
      <c r="AZ254" s="179"/>
      <c r="BA254" s="179"/>
      <c r="BB254" s="179"/>
      <c r="BC254" s="179"/>
      <c r="BD254" s="179"/>
      <c r="BE254" s="179"/>
      <c r="BF254" s="179"/>
      <c r="BG254" s="179"/>
      <c r="BH254" s="179"/>
      <c r="BI254" s="179"/>
      <c r="BJ254" s="179"/>
      <c r="BK254" s="179"/>
      <c r="BL254" s="179"/>
      <c r="BM254" s="179"/>
      <c r="BN254" s="179"/>
      <c r="BO254" s="179"/>
      <c r="BP254" s="179"/>
      <c r="BQ254" s="179"/>
      <c r="BR254" s="179"/>
      <c r="BS254" s="179"/>
      <c r="BT254" s="179"/>
      <c r="BU254" s="179"/>
      <c r="BV254" s="179"/>
      <c r="BW254" s="179"/>
      <c r="BX254" s="179"/>
      <c r="BY254" s="179"/>
      <c r="BZ254" s="179"/>
      <c r="CA254" s="179"/>
      <c r="CB254" s="179"/>
      <c r="CC254" s="179"/>
      <c r="CD254" s="179"/>
      <c r="CE254" s="179"/>
      <c r="CF254" s="179"/>
      <c r="CG254" s="179"/>
      <c r="CH254" s="179"/>
      <c r="CI254" s="179"/>
      <c r="CJ254" s="179"/>
      <c r="CK254" s="179"/>
      <c r="CL254" s="179"/>
      <c r="CM254" s="179"/>
      <c r="CN254" s="179"/>
      <c r="CO254" s="179"/>
      <c r="CP254" s="179"/>
      <c r="CQ254" s="179"/>
      <c r="CR254" s="179"/>
      <c r="CS254" s="179"/>
      <c r="CT254" s="179"/>
      <c r="CU254" s="179"/>
      <c r="CV254" s="179"/>
      <c r="CW254" s="179"/>
      <c r="CX254" s="179"/>
      <c r="CY254" s="179"/>
      <c r="CZ254" s="179"/>
      <c r="DA254" s="179"/>
      <c r="DB254" s="179"/>
      <c r="DC254" s="179"/>
      <c r="DD254" s="179"/>
      <c r="DE254" s="179"/>
      <c r="DF254" s="179"/>
      <c r="DG254" s="179"/>
      <c r="DH254" s="179"/>
      <c r="DI254" s="179"/>
      <c r="DJ254" s="179"/>
      <c r="DK254" s="179"/>
      <c r="DL254" s="179"/>
      <c r="DM254" s="179"/>
      <c r="DN254" s="179"/>
      <c r="DO254" s="179"/>
      <c r="DP254" s="179"/>
      <c r="DQ254" s="179"/>
      <c r="DR254" s="179"/>
      <c r="DS254" s="179"/>
      <c r="DT254" s="179"/>
      <c r="DU254" s="179"/>
      <c r="DV254" s="179"/>
      <c r="DW254" s="179"/>
      <c r="DX254" s="179"/>
      <c r="DY254" s="179"/>
      <c r="DZ254" s="179"/>
      <c r="EA254" s="179"/>
      <c r="EB254" s="179"/>
      <c r="EC254" s="179"/>
      <c r="ED254" s="179"/>
      <c r="EE254" s="179"/>
      <c r="EF254" s="179"/>
      <c r="EG254" s="179"/>
      <c r="EH254" s="179"/>
      <c r="EI254" s="179"/>
      <c r="EJ254" s="179"/>
      <c r="EK254" s="179"/>
      <c r="EL254" s="179"/>
      <c r="EM254" s="179"/>
      <c r="EN254" s="179"/>
      <c r="EO254" s="179"/>
      <c r="EP254" s="179"/>
      <c r="EQ254" s="179"/>
      <c r="ER254" s="179"/>
      <c r="ES254" s="179"/>
      <c r="ET254" s="179"/>
      <c r="EU254" s="179"/>
      <c r="EV254" s="179"/>
      <c r="EW254" s="179"/>
      <c r="EX254" s="179"/>
      <c r="EY254" s="179"/>
      <c r="EZ254" s="179"/>
      <c r="FA254" s="179"/>
      <c r="FB254" s="179"/>
      <c r="FC254" s="179"/>
      <c r="FD254" s="179"/>
      <c r="FE254" s="179"/>
      <c r="FF254" s="179"/>
      <c r="FG254" s="179"/>
      <c r="FH254" s="179"/>
      <c r="FI254" s="179"/>
      <c r="FJ254" s="179"/>
      <c r="FK254" s="179"/>
      <c r="FL254" s="179"/>
      <c r="FM254" s="179"/>
      <c r="FN254" s="179"/>
      <c r="FO254" s="179"/>
      <c r="FP254" s="179"/>
      <c r="FQ254" s="179"/>
      <c r="FR254" s="179"/>
      <c r="FS254" s="179"/>
      <c r="FT254" s="179"/>
      <c r="FU254" s="179"/>
      <c r="FV254" s="179"/>
      <c r="FW254" s="179"/>
      <c r="FX254" s="179"/>
      <c r="FY254" s="179"/>
      <c r="FZ254" s="179"/>
      <c r="GA254" s="179"/>
      <c r="GB254" s="179"/>
      <c r="GC254" s="179"/>
      <c r="GD254" s="179"/>
      <c r="GE254" s="179"/>
      <c r="GF254" s="179"/>
      <c r="GG254" s="179"/>
      <c r="GH254" s="179"/>
      <c r="GI254" s="179"/>
      <c r="GJ254" s="179"/>
      <c r="GK254" s="179"/>
      <c r="GL254" s="179"/>
      <c r="GM254" s="179"/>
      <c r="GN254" s="179"/>
      <c r="GO254" s="179"/>
      <c r="GP254" s="179"/>
      <c r="GQ254" s="179"/>
      <c r="GR254" s="179"/>
      <c r="GS254" s="179"/>
      <c r="GT254" s="179"/>
      <c r="GU254" s="179"/>
      <c r="GV254" s="179"/>
      <c r="GW254" s="179"/>
      <c r="GX254" s="179"/>
      <c r="GY254" s="179"/>
      <c r="GZ254" s="179"/>
      <c r="HA254" s="179"/>
      <c r="HB254" s="179"/>
      <c r="HC254" s="179"/>
      <c r="HD254" s="179"/>
      <c r="HE254" s="179"/>
      <c r="HF254" s="179"/>
      <c r="HG254" s="179"/>
      <c r="HH254" s="179"/>
      <c r="HI254" s="179"/>
      <c r="HJ254" s="179"/>
      <c r="HK254" s="179"/>
      <c r="HL254" s="179"/>
      <c r="HM254" s="179"/>
      <c r="HN254" s="179"/>
      <c r="HO254" s="179"/>
      <c r="HP254" s="179"/>
      <c r="HQ254" s="179"/>
      <c r="HR254" s="179"/>
      <c r="HS254" s="179"/>
      <c r="HT254" s="179"/>
      <c r="HU254" s="179"/>
      <c r="HV254" s="179"/>
      <c r="HW254" s="179"/>
      <c r="HX254" s="179"/>
      <c r="HY254" s="179"/>
      <c r="HZ254" s="179"/>
      <c r="IA254" s="179"/>
      <c r="IB254" s="179"/>
      <c r="IC254" s="179"/>
      <c r="ID254" s="179"/>
      <c r="IE254" s="179"/>
      <c r="IF254" s="179"/>
      <c r="IG254" s="179"/>
      <c r="IH254" s="179"/>
      <c r="II254" s="179"/>
      <c r="IJ254" s="179"/>
      <c r="IK254" s="179"/>
      <c r="IL254" s="179"/>
      <c r="IM254" s="179"/>
      <c r="IN254" s="179"/>
      <c r="IO254" s="179"/>
      <c r="IP254" s="179"/>
      <c r="IQ254" s="179"/>
      <c r="IR254" s="179"/>
      <c r="IS254" s="179"/>
    </row>
    <row r="256" spans="1:253">
      <c r="A256" s="321" t="s">
        <v>519</v>
      </c>
      <c r="B256">
        <f>5.94*B230*12</f>
        <v>185042.88</v>
      </c>
    </row>
    <row r="257" spans="2:2">
      <c r="B257" s="276">
        <f>B256+B239</f>
        <v>790885.02718838374</v>
      </c>
    </row>
    <row r="258" spans="2:2">
      <c r="B258">
        <f>B257/B239</f>
        <v>1.3054308467292253</v>
      </c>
    </row>
  </sheetData>
  <mergeCells count="4">
    <mergeCell ref="A1:B1"/>
    <mergeCell ref="A2:B2"/>
    <mergeCell ref="A3:B3"/>
    <mergeCell ref="A227:B227"/>
  </mergeCells>
  <pageMargins left="0.70866141732283472" right="0.70866141732283472" top="0.74803149606299213" bottom="0.74803149606299213" header="0.31496062992125984" footer="0.31496062992125984"/>
  <pageSetup paperSize="9" scale="13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6"/>
  <sheetViews>
    <sheetView topLeftCell="A172" workbookViewId="0">
      <selection activeCell="A206" sqref="A206"/>
    </sheetView>
  </sheetViews>
  <sheetFormatPr defaultRowHeight="15"/>
  <cols>
    <col min="1" max="1" width="107.7109375" customWidth="1"/>
    <col min="2" max="2" width="12.5703125" customWidth="1"/>
    <col min="4" max="4" width="10.28515625" bestFit="1" customWidth="1"/>
  </cols>
  <sheetData>
    <row r="1" spans="1:2" ht="15.75">
      <c r="A1" s="701" t="s">
        <v>364</v>
      </c>
      <c r="B1" s="701"/>
    </row>
    <row r="2" spans="1:2" ht="15.75">
      <c r="A2" s="702" t="s">
        <v>243</v>
      </c>
      <c r="B2" s="702"/>
    </row>
    <row r="3" spans="1:2" s="55" customFormat="1" ht="15.75">
      <c r="A3" s="702" t="s">
        <v>1614</v>
      </c>
      <c r="B3" s="702"/>
    </row>
    <row r="4" spans="1:2" s="55" customFormat="1" ht="15.75">
      <c r="A4" s="126"/>
      <c r="B4" s="74"/>
    </row>
    <row r="5" spans="1:2" s="73" customFormat="1">
      <c r="A5" s="582" t="s">
        <v>229</v>
      </c>
      <c r="B5" s="82" t="s">
        <v>610</v>
      </c>
    </row>
    <row r="6" spans="1:2" s="73" customFormat="1" ht="15.75" thickBot="1">
      <c r="A6" s="587" t="s">
        <v>229</v>
      </c>
      <c r="B6" s="100"/>
    </row>
    <row r="7" spans="1:2" s="73" customFormat="1" ht="15.75" thickBot="1">
      <c r="A7" s="584" t="s">
        <v>29</v>
      </c>
      <c r="B7" s="72"/>
    </row>
    <row r="8" spans="1:2" s="73" customFormat="1" ht="15.75" thickBot="1">
      <c r="A8" s="584" t="s">
        <v>57</v>
      </c>
      <c r="B8" s="72"/>
    </row>
    <row r="9" spans="1:2" s="73" customFormat="1" ht="29.25" thickBot="1">
      <c r="A9" s="166" t="s">
        <v>2601</v>
      </c>
      <c r="B9" s="72">
        <v>4</v>
      </c>
    </row>
    <row r="10" spans="1:2" s="73" customFormat="1">
      <c r="A10" s="400" t="s">
        <v>2602</v>
      </c>
      <c r="B10" s="72">
        <v>4</v>
      </c>
    </row>
    <row r="11" spans="1:2" s="73" customFormat="1">
      <c r="A11" s="400" t="s">
        <v>2603</v>
      </c>
      <c r="B11" s="72">
        <v>2</v>
      </c>
    </row>
    <row r="12" spans="1:2" s="73" customFormat="1">
      <c r="A12" s="586" t="s">
        <v>2604</v>
      </c>
      <c r="B12" s="72">
        <v>4</v>
      </c>
    </row>
    <row r="13" spans="1:2" s="73" customFormat="1" ht="30.75" customHeight="1">
      <c r="A13" s="589" t="s">
        <v>2621</v>
      </c>
      <c r="B13" s="72">
        <v>2</v>
      </c>
    </row>
    <row r="14" spans="1:2" s="73" customFormat="1">
      <c r="A14" s="589" t="s">
        <v>2633</v>
      </c>
      <c r="B14" s="72">
        <v>4</v>
      </c>
    </row>
    <row r="15" spans="1:2" s="73" customFormat="1">
      <c r="A15" s="589" t="s">
        <v>2634</v>
      </c>
      <c r="B15" s="72"/>
    </row>
    <row r="16" spans="1:2" s="73" customFormat="1">
      <c r="A16" s="590" t="s">
        <v>2644</v>
      </c>
      <c r="B16" s="72">
        <v>2</v>
      </c>
    </row>
    <row r="17" spans="1:2" s="73" customFormat="1" ht="28.5">
      <c r="A17" s="590" t="s">
        <v>2645</v>
      </c>
      <c r="B17" s="72">
        <v>6</v>
      </c>
    </row>
    <row r="18" spans="1:2" s="73" customFormat="1">
      <c r="A18" s="590" t="s">
        <v>2650</v>
      </c>
      <c r="B18" s="72">
        <v>3</v>
      </c>
    </row>
    <row r="19" spans="1:2" s="73" customFormat="1" ht="28.5">
      <c r="A19" s="591" t="s">
        <v>2658</v>
      </c>
      <c r="B19" s="72">
        <v>3</v>
      </c>
    </row>
    <row r="20" spans="1:2" s="73" customFormat="1">
      <c r="A20" s="591" t="s">
        <v>2659</v>
      </c>
      <c r="B20" s="72">
        <v>6</v>
      </c>
    </row>
    <row r="21" spans="1:2" s="73" customFormat="1">
      <c r="A21" s="591" t="s">
        <v>2666</v>
      </c>
      <c r="B21" s="72">
        <v>12</v>
      </c>
    </row>
    <row r="22" spans="1:2" s="73" customFormat="1" ht="15" customHeight="1">
      <c r="A22" s="590" t="s">
        <v>2664</v>
      </c>
      <c r="B22" s="72">
        <v>12</v>
      </c>
    </row>
    <row r="23" spans="1:2" s="73" customFormat="1" ht="28.5">
      <c r="A23" s="590" t="s">
        <v>2680</v>
      </c>
      <c r="B23" s="72">
        <v>4</v>
      </c>
    </row>
    <row r="24" spans="1:2" s="73" customFormat="1" ht="28.5">
      <c r="A24" s="590" t="s">
        <v>2681</v>
      </c>
      <c r="B24" s="72">
        <v>3</v>
      </c>
    </row>
    <row r="25" spans="1:2" s="73" customFormat="1">
      <c r="A25" s="591" t="s">
        <v>2691</v>
      </c>
      <c r="B25" s="72">
        <v>1.5</v>
      </c>
    </row>
    <row r="26" spans="1:2" s="73" customFormat="1">
      <c r="A26" s="594" t="s">
        <v>2716</v>
      </c>
      <c r="B26" s="72">
        <v>8</v>
      </c>
    </row>
    <row r="27" spans="1:2" s="73" customFormat="1" ht="30" customHeight="1">
      <c r="A27" s="592" t="s">
        <v>2737</v>
      </c>
      <c r="B27" s="72">
        <v>4</v>
      </c>
    </row>
    <row r="28" spans="1:2" s="73" customFormat="1">
      <c r="A28" s="191" t="s">
        <v>66</v>
      </c>
      <c r="B28" s="72"/>
    </row>
    <row r="29" spans="1:2" s="73" customFormat="1" ht="19.5" customHeight="1">
      <c r="A29" s="84" t="s">
        <v>2605</v>
      </c>
      <c r="B29" s="72">
        <v>6</v>
      </c>
    </row>
    <row r="30" spans="1:2" s="73" customFormat="1">
      <c r="A30" s="84" t="s">
        <v>2606</v>
      </c>
      <c r="B30" s="72">
        <v>2</v>
      </c>
    </row>
    <row r="31" spans="1:2" s="73" customFormat="1" ht="28.5">
      <c r="A31" s="97" t="s">
        <v>2682</v>
      </c>
      <c r="B31" s="72">
        <v>12</v>
      </c>
    </row>
    <row r="32" spans="1:2" s="73" customFormat="1" ht="15" customHeight="1">
      <c r="A32" s="84" t="s">
        <v>2692</v>
      </c>
      <c r="B32" s="72">
        <v>2</v>
      </c>
    </row>
    <row r="33" spans="1:2" s="73" customFormat="1" ht="15" customHeight="1">
      <c r="A33" s="84" t="s">
        <v>2738</v>
      </c>
      <c r="B33" s="72">
        <v>2</v>
      </c>
    </row>
    <row r="34" spans="1:2" s="73" customFormat="1" ht="33" customHeight="1">
      <c r="A34" s="97" t="s">
        <v>2739</v>
      </c>
      <c r="B34" s="72">
        <v>4</v>
      </c>
    </row>
    <row r="35" spans="1:2" s="73" customFormat="1">
      <c r="A35" s="585" t="s">
        <v>590</v>
      </c>
      <c r="B35" s="72"/>
    </row>
    <row r="36" spans="1:2" s="73" customFormat="1" ht="28.5">
      <c r="A36" s="400" t="s">
        <v>2607</v>
      </c>
      <c r="B36" s="72">
        <v>4</v>
      </c>
    </row>
    <row r="37" spans="1:2" s="73" customFormat="1">
      <c r="A37" s="400" t="s">
        <v>2608</v>
      </c>
      <c r="B37" s="72">
        <v>2</v>
      </c>
    </row>
    <row r="38" spans="1:2" s="73" customFormat="1">
      <c r="A38" s="400" t="s">
        <v>2609</v>
      </c>
      <c r="B38" s="72">
        <v>8</v>
      </c>
    </row>
    <row r="39" spans="1:2" s="73" customFormat="1">
      <c r="A39" s="400" t="s">
        <v>2610</v>
      </c>
      <c r="B39" s="72">
        <v>1.5</v>
      </c>
    </row>
    <row r="40" spans="1:2" s="73" customFormat="1">
      <c r="A40" s="400" t="s">
        <v>2611</v>
      </c>
      <c r="B40" s="72">
        <v>1.5</v>
      </c>
    </row>
    <row r="41" spans="1:2" s="73" customFormat="1" ht="21" customHeight="1">
      <c r="A41" s="400" t="s">
        <v>2612</v>
      </c>
      <c r="B41" s="72">
        <v>3</v>
      </c>
    </row>
    <row r="42" spans="1:2" s="73" customFormat="1" ht="28.5">
      <c r="A42" s="400" t="s">
        <v>2613</v>
      </c>
      <c r="B42" s="72">
        <v>8</v>
      </c>
    </row>
    <row r="43" spans="1:2" s="73" customFormat="1">
      <c r="A43" s="400" t="s">
        <v>2614</v>
      </c>
      <c r="B43" s="72">
        <v>1.5</v>
      </c>
    </row>
    <row r="44" spans="1:2" s="73" customFormat="1" ht="28.5">
      <c r="A44" s="400" t="s">
        <v>2622</v>
      </c>
      <c r="B44" s="72">
        <v>8</v>
      </c>
    </row>
    <row r="45" spans="1:2" s="73" customFormat="1">
      <c r="A45" s="400" t="s">
        <v>2623</v>
      </c>
      <c r="B45" s="72">
        <v>4</v>
      </c>
    </row>
    <row r="46" spans="1:2" s="73" customFormat="1">
      <c r="A46" s="400" t="s">
        <v>2624</v>
      </c>
      <c r="B46" s="129">
        <v>12</v>
      </c>
    </row>
    <row r="47" spans="1:2" s="73" customFormat="1" ht="28.5">
      <c r="A47" s="400" t="s">
        <v>2625</v>
      </c>
      <c r="B47" s="72">
        <v>4</v>
      </c>
    </row>
    <row r="48" spans="1:2" s="73" customFormat="1" ht="15" customHeight="1">
      <c r="A48" s="588" t="s">
        <v>2626</v>
      </c>
      <c r="B48" s="72">
        <v>6</v>
      </c>
    </row>
    <row r="49" spans="1:2" s="73" customFormat="1">
      <c r="A49" s="400" t="s">
        <v>2627</v>
      </c>
      <c r="B49" s="72">
        <v>4</v>
      </c>
    </row>
    <row r="50" spans="1:2" s="73" customFormat="1">
      <c r="A50" s="400" t="s">
        <v>2635</v>
      </c>
      <c r="B50" s="72">
        <v>2</v>
      </c>
    </row>
    <row r="51" spans="1:2" s="73" customFormat="1">
      <c r="A51" s="400" t="s">
        <v>2636</v>
      </c>
      <c r="B51" s="72">
        <v>6</v>
      </c>
    </row>
    <row r="52" spans="1:2" s="73" customFormat="1" ht="28.5">
      <c r="A52" s="97" t="s">
        <v>2637</v>
      </c>
      <c r="B52" s="72">
        <v>4</v>
      </c>
    </row>
    <row r="53" spans="1:2" s="73" customFormat="1">
      <c r="A53" s="97" t="s">
        <v>3035</v>
      </c>
      <c r="B53" s="72">
        <v>2</v>
      </c>
    </row>
    <row r="54" spans="1:2" s="73" customFormat="1">
      <c r="A54" s="400" t="s">
        <v>2647</v>
      </c>
      <c r="B54" s="72">
        <v>6</v>
      </c>
    </row>
    <row r="55" spans="1:2" s="73" customFormat="1">
      <c r="A55" s="400" t="s">
        <v>3038</v>
      </c>
      <c r="B55" s="72">
        <v>2</v>
      </c>
    </row>
    <row r="56" spans="1:2" s="73" customFormat="1">
      <c r="A56" s="400" t="s">
        <v>2646</v>
      </c>
      <c r="B56" s="72">
        <v>2</v>
      </c>
    </row>
    <row r="57" spans="1:2" s="73" customFormat="1">
      <c r="A57" s="400" t="s">
        <v>2648</v>
      </c>
      <c r="B57" s="72">
        <v>6</v>
      </c>
    </row>
    <row r="58" spans="1:2" s="73" customFormat="1">
      <c r="A58" s="400" t="s">
        <v>2649</v>
      </c>
      <c r="B58" s="72">
        <v>4</v>
      </c>
    </row>
    <row r="59" spans="1:2" s="73" customFormat="1">
      <c r="A59" s="400" t="s">
        <v>2651</v>
      </c>
      <c r="B59" s="72">
        <v>6</v>
      </c>
    </row>
    <row r="60" spans="1:2" s="73" customFormat="1" ht="28.5">
      <c r="A60" s="400" t="s">
        <v>2652</v>
      </c>
      <c r="B60" s="72">
        <v>2</v>
      </c>
    </row>
    <row r="61" spans="1:2" s="73" customFormat="1" ht="28.5">
      <c r="A61" s="400" t="s">
        <v>2653</v>
      </c>
      <c r="B61" s="72">
        <v>2</v>
      </c>
    </row>
    <row r="62" spans="1:2" s="73" customFormat="1">
      <c r="A62" s="400" t="s">
        <v>2654</v>
      </c>
      <c r="B62" s="72">
        <v>2</v>
      </c>
    </row>
    <row r="63" spans="1:2" s="73" customFormat="1">
      <c r="A63" s="400" t="s">
        <v>3037</v>
      </c>
      <c r="B63" s="72">
        <v>1</v>
      </c>
    </row>
    <row r="64" spans="1:2" s="73" customFormat="1">
      <c r="A64" s="400" t="s">
        <v>3036</v>
      </c>
      <c r="B64" s="72">
        <v>1</v>
      </c>
    </row>
    <row r="65" spans="1:2" s="73" customFormat="1" ht="28.5">
      <c r="A65" s="400" t="s">
        <v>2655</v>
      </c>
      <c r="B65" s="72">
        <v>4</v>
      </c>
    </row>
    <row r="66" spans="1:2" s="73" customFormat="1">
      <c r="A66" s="400" t="s">
        <v>3034</v>
      </c>
      <c r="B66" s="72">
        <v>2</v>
      </c>
    </row>
    <row r="67" spans="1:2" s="73" customFormat="1">
      <c r="A67" s="400" t="s">
        <v>2660</v>
      </c>
      <c r="B67" s="72">
        <v>2</v>
      </c>
    </row>
    <row r="68" spans="1:2" s="73" customFormat="1">
      <c r="A68" s="400" t="s">
        <v>2661</v>
      </c>
      <c r="B68" s="72">
        <v>8</v>
      </c>
    </row>
    <row r="69" spans="1:2" s="73" customFormat="1" ht="28.5">
      <c r="A69" s="400" t="s">
        <v>2665</v>
      </c>
      <c r="B69" s="72">
        <v>4</v>
      </c>
    </row>
    <row r="70" spans="1:2" s="73" customFormat="1" ht="28.5">
      <c r="A70" s="400" t="s">
        <v>2667</v>
      </c>
      <c r="B70" s="72">
        <v>12</v>
      </c>
    </row>
    <row r="71" spans="1:2" s="73" customFormat="1">
      <c r="A71" s="400" t="s">
        <v>3033</v>
      </c>
      <c r="B71" s="72">
        <v>2</v>
      </c>
    </row>
    <row r="72" spans="1:2" s="73" customFormat="1" ht="28.5">
      <c r="A72" s="400" t="s">
        <v>2668</v>
      </c>
      <c r="B72" s="72">
        <v>4</v>
      </c>
    </row>
    <row r="73" spans="1:2" s="73" customFormat="1" ht="28.5">
      <c r="A73" s="400" t="s">
        <v>2672</v>
      </c>
      <c r="B73" s="72">
        <v>3</v>
      </c>
    </row>
    <row r="74" spans="1:2" s="73" customFormat="1">
      <c r="A74" s="400" t="s">
        <v>2673</v>
      </c>
      <c r="B74" s="72">
        <v>1</v>
      </c>
    </row>
    <row r="75" spans="1:2" s="73" customFormat="1">
      <c r="A75" s="400" t="s">
        <v>2674</v>
      </c>
      <c r="B75" s="72">
        <v>2</v>
      </c>
    </row>
    <row r="76" spans="1:2" s="73" customFormat="1">
      <c r="A76" s="400" t="s">
        <v>2675</v>
      </c>
      <c r="B76" s="72">
        <v>1</v>
      </c>
    </row>
    <row r="77" spans="1:2" s="73" customFormat="1" ht="28.5">
      <c r="A77" s="400" t="s">
        <v>2676</v>
      </c>
      <c r="B77" s="72">
        <v>4</v>
      </c>
    </row>
    <row r="78" spans="1:2" s="73" customFormat="1">
      <c r="A78" s="400" t="s">
        <v>2677</v>
      </c>
      <c r="B78" s="72">
        <v>8</v>
      </c>
    </row>
    <row r="79" spans="1:2" s="73" customFormat="1" ht="28.5">
      <c r="A79" s="400" t="s">
        <v>2683</v>
      </c>
      <c r="B79" s="72">
        <v>12</v>
      </c>
    </row>
    <row r="80" spans="1:2" s="73" customFormat="1" ht="21" customHeight="1">
      <c r="A80" s="400" t="s">
        <v>2684</v>
      </c>
      <c r="B80" s="72">
        <v>6</v>
      </c>
    </row>
    <row r="81" spans="1:2" s="73" customFormat="1" ht="28.5">
      <c r="A81" s="400" t="s">
        <v>2685</v>
      </c>
      <c r="B81" s="72">
        <v>1</v>
      </c>
    </row>
    <row r="82" spans="1:2" s="73" customFormat="1" ht="28.5">
      <c r="A82" s="400" t="s">
        <v>2686</v>
      </c>
      <c r="B82" s="72">
        <v>2</v>
      </c>
    </row>
    <row r="83" spans="1:2" s="73" customFormat="1">
      <c r="A83" s="400" t="s">
        <v>2687</v>
      </c>
      <c r="B83" s="72">
        <v>6</v>
      </c>
    </row>
    <row r="84" spans="1:2" s="73" customFormat="1">
      <c r="A84" s="400" t="s">
        <v>2688</v>
      </c>
      <c r="B84" s="72">
        <v>2</v>
      </c>
    </row>
    <row r="85" spans="1:2" s="73" customFormat="1">
      <c r="A85" s="400" t="s">
        <v>2689</v>
      </c>
      <c r="B85" s="72">
        <v>2</v>
      </c>
    </row>
    <row r="86" spans="1:2" s="73" customFormat="1">
      <c r="A86" s="400" t="s">
        <v>2693</v>
      </c>
      <c r="B86" s="72">
        <v>4</v>
      </c>
    </row>
    <row r="87" spans="1:2" s="73" customFormat="1">
      <c r="A87" s="400" t="s">
        <v>2694</v>
      </c>
      <c r="B87" s="72">
        <v>2</v>
      </c>
    </row>
    <row r="88" spans="1:2" s="73" customFormat="1">
      <c r="A88" s="400" t="s">
        <v>2695</v>
      </c>
      <c r="B88" s="72">
        <v>1</v>
      </c>
    </row>
    <row r="89" spans="1:2" s="73" customFormat="1">
      <c r="A89" s="400" t="s">
        <v>2696</v>
      </c>
      <c r="B89" s="72">
        <v>4</v>
      </c>
    </row>
    <row r="90" spans="1:2" s="73" customFormat="1">
      <c r="A90" s="400" t="s">
        <v>2697</v>
      </c>
      <c r="B90" s="72">
        <v>4</v>
      </c>
    </row>
    <row r="91" spans="1:2" s="73" customFormat="1">
      <c r="A91" s="400" t="s">
        <v>2698</v>
      </c>
      <c r="B91" s="72">
        <v>4</v>
      </c>
    </row>
    <row r="92" spans="1:2" s="73" customFormat="1" ht="28.5">
      <c r="A92" s="400" t="s">
        <v>2704</v>
      </c>
      <c r="B92" s="72">
        <v>6</v>
      </c>
    </row>
    <row r="93" spans="1:2" s="73" customFormat="1">
      <c r="A93" s="400" t="s">
        <v>2705</v>
      </c>
      <c r="B93" s="72">
        <v>2</v>
      </c>
    </row>
    <row r="94" spans="1:2" s="73" customFormat="1">
      <c r="A94" s="400" t="s">
        <v>2706</v>
      </c>
      <c r="B94" s="72">
        <v>4</v>
      </c>
    </row>
    <row r="95" spans="1:2" s="73" customFormat="1" ht="28.5">
      <c r="A95" s="400" t="s">
        <v>2707</v>
      </c>
      <c r="B95" s="72">
        <v>2</v>
      </c>
    </row>
    <row r="96" spans="1:2" s="73" customFormat="1">
      <c r="A96" s="400" t="s">
        <v>2708</v>
      </c>
      <c r="B96" s="72">
        <v>2</v>
      </c>
    </row>
    <row r="97" spans="1:2" s="73" customFormat="1">
      <c r="A97" s="400" t="s">
        <v>2709</v>
      </c>
      <c r="B97" s="72">
        <v>6</v>
      </c>
    </row>
    <row r="98" spans="1:2" s="73" customFormat="1" ht="28.5">
      <c r="A98" s="400" t="s">
        <v>2710</v>
      </c>
      <c r="B98" s="72">
        <v>3</v>
      </c>
    </row>
    <row r="99" spans="1:2" s="73" customFormat="1">
      <c r="A99" s="400" t="s">
        <v>2711</v>
      </c>
      <c r="B99" s="72">
        <v>4</v>
      </c>
    </row>
    <row r="100" spans="1:2" s="73" customFormat="1">
      <c r="A100" s="400" t="s">
        <v>2712</v>
      </c>
      <c r="B100" s="72">
        <v>4</v>
      </c>
    </row>
    <row r="101" spans="1:2" s="73" customFormat="1">
      <c r="A101" s="400" t="s">
        <v>2717</v>
      </c>
      <c r="B101" s="72">
        <v>2</v>
      </c>
    </row>
    <row r="102" spans="1:2" s="73" customFormat="1">
      <c r="A102" s="400" t="s">
        <v>2718</v>
      </c>
      <c r="B102" s="72">
        <v>2</v>
      </c>
    </row>
    <row r="103" spans="1:2" s="73" customFormat="1">
      <c r="A103" s="400" t="s">
        <v>2719</v>
      </c>
      <c r="B103" s="72">
        <v>4</v>
      </c>
    </row>
    <row r="104" spans="1:2" s="73" customFormat="1">
      <c r="A104" s="400" t="s">
        <v>2720</v>
      </c>
      <c r="B104" s="72">
        <v>2</v>
      </c>
    </row>
    <row r="105" spans="1:2" s="73" customFormat="1" ht="28.5">
      <c r="A105" s="400" t="s">
        <v>2721</v>
      </c>
      <c r="B105" s="72">
        <v>6</v>
      </c>
    </row>
    <row r="106" spans="1:2" s="73" customFormat="1">
      <c r="A106" s="400" t="s">
        <v>2722</v>
      </c>
      <c r="B106" s="72">
        <v>2</v>
      </c>
    </row>
    <row r="107" spans="1:2" s="73" customFormat="1">
      <c r="A107" s="400" t="s">
        <v>2723</v>
      </c>
      <c r="B107" s="72">
        <v>2</v>
      </c>
    </row>
    <row r="108" spans="1:2" s="73" customFormat="1">
      <c r="A108" s="400" t="s">
        <v>2724</v>
      </c>
      <c r="B108" s="72">
        <v>8</v>
      </c>
    </row>
    <row r="109" spans="1:2" s="73" customFormat="1">
      <c r="A109" s="400" t="s">
        <v>2725</v>
      </c>
      <c r="B109" s="72">
        <v>8</v>
      </c>
    </row>
    <row r="110" spans="1:2" s="73" customFormat="1">
      <c r="A110" s="400" t="s">
        <v>2726</v>
      </c>
      <c r="B110" s="72">
        <v>6</v>
      </c>
    </row>
    <row r="111" spans="1:2" s="73" customFormat="1" ht="28.5">
      <c r="A111" s="400" t="s">
        <v>2727</v>
      </c>
      <c r="B111" s="72">
        <v>2</v>
      </c>
    </row>
    <row r="112" spans="1:2" s="73" customFormat="1" ht="20.25" customHeight="1">
      <c r="A112" s="400" t="s">
        <v>2728</v>
      </c>
      <c r="B112" s="72">
        <v>4</v>
      </c>
    </row>
    <row r="113" spans="1:2" s="73" customFormat="1" ht="20.25" customHeight="1">
      <c r="A113" s="400" t="s">
        <v>2729</v>
      </c>
      <c r="B113" s="72">
        <v>4</v>
      </c>
    </row>
    <row r="114" spans="1:2" s="73" customFormat="1" ht="20.25" customHeight="1">
      <c r="A114" s="400" t="s">
        <v>2730</v>
      </c>
      <c r="B114" s="72">
        <v>4</v>
      </c>
    </row>
    <row r="115" spans="1:2" s="73" customFormat="1" ht="18" customHeight="1">
      <c r="A115" s="400" t="s">
        <v>2731</v>
      </c>
      <c r="B115" s="72">
        <v>4</v>
      </c>
    </row>
    <row r="116" spans="1:2" s="73" customFormat="1">
      <c r="A116" s="400" t="s">
        <v>2740</v>
      </c>
      <c r="B116" s="72">
        <v>4</v>
      </c>
    </row>
    <row r="117" spans="1:2" s="73" customFormat="1">
      <c r="A117" s="400" t="s">
        <v>2741</v>
      </c>
      <c r="B117" s="72">
        <v>2</v>
      </c>
    </row>
    <row r="118" spans="1:2" s="73" customFormat="1" ht="28.5">
      <c r="A118" s="400" t="s">
        <v>2742</v>
      </c>
      <c r="B118" s="72">
        <v>4</v>
      </c>
    </row>
    <row r="119" spans="1:2" s="73" customFormat="1">
      <c r="A119" s="400" t="s">
        <v>2743</v>
      </c>
      <c r="B119" s="72">
        <v>4</v>
      </c>
    </row>
    <row r="120" spans="1:2" s="73" customFormat="1" ht="24" customHeight="1">
      <c r="A120" s="400" t="s">
        <v>2744</v>
      </c>
      <c r="B120" s="72">
        <v>4</v>
      </c>
    </row>
    <row r="121" spans="1:2" s="73" customFormat="1" ht="18" customHeight="1">
      <c r="A121" s="400" t="s">
        <v>2745</v>
      </c>
      <c r="B121" s="72">
        <v>4</v>
      </c>
    </row>
    <row r="122" spans="1:2" s="73" customFormat="1" ht="18" customHeight="1">
      <c r="A122" s="400" t="s">
        <v>2746</v>
      </c>
      <c r="B122" s="72">
        <v>2</v>
      </c>
    </row>
    <row r="123" spans="1:2" s="73" customFormat="1" ht="18" customHeight="1">
      <c r="A123" s="400" t="s">
        <v>2747</v>
      </c>
      <c r="B123" s="72">
        <v>2</v>
      </c>
    </row>
    <row r="124" spans="1:2" s="73" customFormat="1">
      <c r="A124" s="400" t="s">
        <v>2748</v>
      </c>
      <c r="B124" s="72">
        <v>2</v>
      </c>
    </row>
    <row r="125" spans="1:2" s="73" customFormat="1">
      <c r="A125" s="400" t="s">
        <v>2749</v>
      </c>
      <c r="B125" s="72">
        <v>6</v>
      </c>
    </row>
    <row r="126" spans="1:2" s="73" customFormat="1">
      <c r="A126" s="400" t="s">
        <v>2750</v>
      </c>
      <c r="B126" s="72">
        <v>4</v>
      </c>
    </row>
    <row r="127" spans="1:2" s="73" customFormat="1" ht="17.25" customHeight="1">
      <c r="A127" s="400" t="s">
        <v>2751</v>
      </c>
      <c r="B127" s="72">
        <v>8</v>
      </c>
    </row>
    <row r="128" spans="1:2" s="73" customFormat="1" ht="30.75" customHeight="1" thickBot="1">
      <c r="A128" s="400" t="s">
        <v>2752</v>
      </c>
      <c r="B128" s="72">
        <v>3</v>
      </c>
    </row>
    <row r="129" spans="1:2" s="73" customFormat="1" ht="15.75" customHeight="1">
      <c r="A129" s="387" t="s">
        <v>102</v>
      </c>
      <c r="B129" s="72"/>
    </row>
    <row r="130" spans="1:2" s="73" customFormat="1">
      <c r="A130" s="400" t="s">
        <v>2615</v>
      </c>
      <c r="B130" s="72">
        <v>1.5</v>
      </c>
    </row>
    <row r="131" spans="1:2" s="73" customFormat="1">
      <c r="A131" s="400" t="s">
        <v>2616</v>
      </c>
      <c r="B131" s="72">
        <v>1.5</v>
      </c>
    </row>
    <row r="132" spans="1:2" s="73" customFormat="1">
      <c r="A132" s="400" t="s">
        <v>2617</v>
      </c>
      <c r="B132" s="72">
        <v>2</v>
      </c>
    </row>
    <row r="133" spans="1:2" s="73" customFormat="1">
      <c r="A133" s="400" t="s">
        <v>2618</v>
      </c>
      <c r="B133" s="72">
        <v>1</v>
      </c>
    </row>
    <row r="134" spans="1:2" s="73" customFormat="1">
      <c r="A134" s="400" t="s">
        <v>2619</v>
      </c>
      <c r="B134" s="72">
        <v>1.5</v>
      </c>
    </row>
    <row r="135" spans="1:2" s="73" customFormat="1">
      <c r="A135" s="400" t="s">
        <v>2620</v>
      </c>
      <c r="B135" s="72">
        <v>1.5</v>
      </c>
    </row>
    <row r="136" spans="1:2" s="73" customFormat="1">
      <c r="A136" s="400" t="s">
        <v>2628</v>
      </c>
      <c r="B136" s="72">
        <v>1.5</v>
      </c>
    </row>
    <row r="137" spans="1:2" s="73" customFormat="1">
      <c r="A137" s="400" t="s">
        <v>2629</v>
      </c>
      <c r="B137" s="72">
        <v>1.5</v>
      </c>
    </row>
    <row r="138" spans="1:2" s="73" customFormat="1">
      <c r="A138" s="400" t="s">
        <v>2630</v>
      </c>
      <c r="B138" s="72">
        <v>1</v>
      </c>
    </row>
    <row r="139" spans="1:2" s="73" customFormat="1">
      <c r="A139" s="400" t="s">
        <v>2631</v>
      </c>
      <c r="B139" s="72">
        <v>1.5</v>
      </c>
    </row>
    <row r="140" spans="1:2" s="73" customFormat="1">
      <c r="A140" s="400" t="s">
        <v>2632</v>
      </c>
      <c r="B140" s="72">
        <v>2</v>
      </c>
    </row>
    <row r="141" spans="1:2" s="73" customFormat="1">
      <c r="A141" s="400" t="s">
        <v>2643</v>
      </c>
      <c r="B141" s="72">
        <v>1.5</v>
      </c>
    </row>
    <row r="142" spans="1:2" s="73" customFormat="1">
      <c r="A142" s="400" t="s">
        <v>2642</v>
      </c>
      <c r="B142" s="72">
        <v>2</v>
      </c>
    </row>
    <row r="143" spans="1:2">
      <c r="A143" s="127" t="s">
        <v>2641</v>
      </c>
      <c r="B143" s="127">
        <v>1.5</v>
      </c>
    </row>
    <row r="144" spans="1:2" s="73" customFormat="1">
      <c r="A144" s="400" t="s">
        <v>2640</v>
      </c>
      <c r="B144" s="72">
        <v>2</v>
      </c>
    </row>
    <row r="145" spans="1:2" s="73" customFormat="1">
      <c r="A145" s="400" t="s">
        <v>2639</v>
      </c>
      <c r="B145" s="72">
        <v>1</v>
      </c>
    </row>
    <row r="146" spans="1:2" s="73" customFormat="1">
      <c r="A146" s="400" t="s">
        <v>2638</v>
      </c>
      <c r="B146" s="72">
        <v>1.5</v>
      </c>
    </row>
    <row r="147" spans="1:2" s="73" customFormat="1">
      <c r="A147" s="400" t="s">
        <v>2656</v>
      </c>
      <c r="B147" s="72">
        <v>1.5</v>
      </c>
    </row>
    <row r="148" spans="1:2" s="73" customFormat="1">
      <c r="A148" s="400" t="s">
        <v>2657</v>
      </c>
      <c r="B148" s="72">
        <v>1.5</v>
      </c>
    </row>
    <row r="149" spans="1:2" s="73" customFormat="1">
      <c r="A149" s="400" t="s">
        <v>2662</v>
      </c>
      <c r="B149" s="72">
        <v>1.5</v>
      </c>
    </row>
    <row r="150" spans="1:2" s="73" customFormat="1">
      <c r="A150" s="400" t="s">
        <v>2663</v>
      </c>
      <c r="B150" s="72">
        <v>2</v>
      </c>
    </row>
    <row r="151" spans="1:2" s="73" customFormat="1" ht="18" customHeight="1">
      <c r="A151" s="400" t="s">
        <v>2669</v>
      </c>
      <c r="B151" s="72">
        <v>1.5</v>
      </c>
    </row>
    <row r="152" spans="1:2" s="73" customFormat="1" ht="18" customHeight="1">
      <c r="A152" s="400" t="s">
        <v>2670</v>
      </c>
      <c r="B152" s="72">
        <v>1.5</v>
      </c>
    </row>
    <row r="153" spans="1:2" s="73" customFormat="1">
      <c r="A153" s="400" t="s">
        <v>2671</v>
      </c>
      <c r="B153" s="72">
        <v>1.5</v>
      </c>
    </row>
    <row r="154" spans="1:2" s="73" customFormat="1">
      <c r="A154" s="400" t="s">
        <v>2678</v>
      </c>
      <c r="B154" s="72">
        <v>1</v>
      </c>
    </row>
    <row r="155" spans="1:2" s="73" customFormat="1">
      <c r="A155" s="400" t="s">
        <v>2679</v>
      </c>
      <c r="B155" s="72">
        <v>2</v>
      </c>
    </row>
    <row r="156" spans="1:2" s="73" customFormat="1">
      <c r="A156" s="400" t="s">
        <v>2690</v>
      </c>
      <c r="B156" s="72">
        <v>1.5</v>
      </c>
    </row>
    <row r="157" spans="1:2" s="73" customFormat="1" ht="15" customHeight="1">
      <c r="A157" s="400" t="s">
        <v>2699</v>
      </c>
      <c r="B157" s="72">
        <v>2</v>
      </c>
    </row>
    <row r="158" spans="1:2" s="73" customFormat="1" ht="15" customHeight="1">
      <c r="A158" s="400" t="s">
        <v>2700</v>
      </c>
      <c r="B158" s="72">
        <v>1.5</v>
      </c>
    </row>
    <row r="159" spans="1:2" s="73" customFormat="1" ht="15" customHeight="1">
      <c r="A159" s="400" t="s">
        <v>2701</v>
      </c>
      <c r="B159" s="72">
        <v>1.5</v>
      </c>
    </row>
    <row r="160" spans="1:2" s="73" customFormat="1" ht="15" customHeight="1">
      <c r="A160" s="400" t="s">
        <v>2702</v>
      </c>
      <c r="B160" s="72">
        <v>1.5</v>
      </c>
    </row>
    <row r="161" spans="1:256" s="73" customFormat="1">
      <c r="A161" s="400" t="s">
        <v>2703</v>
      </c>
      <c r="B161" s="72">
        <v>1.5</v>
      </c>
    </row>
    <row r="162" spans="1:256" s="73" customFormat="1" ht="20.25" customHeight="1">
      <c r="A162" s="400" t="s">
        <v>2713</v>
      </c>
      <c r="B162" s="72">
        <v>1.5</v>
      </c>
    </row>
    <row r="163" spans="1:256" s="73" customFormat="1" ht="28.5">
      <c r="A163" s="400" t="s">
        <v>2714</v>
      </c>
      <c r="B163" s="72">
        <v>1.5</v>
      </c>
    </row>
    <row r="164" spans="1:256" s="73" customFormat="1">
      <c r="A164" s="400" t="s">
        <v>2715</v>
      </c>
      <c r="B164" s="72">
        <v>1.5</v>
      </c>
    </row>
    <row r="165" spans="1:256" s="73" customFormat="1">
      <c r="A165" s="400" t="s">
        <v>2732</v>
      </c>
      <c r="B165" s="72">
        <v>1.5</v>
      </c>
    </row>
    <row r="166" spans="1:256" s="73" customFormat="1" ht="28.5">
      <c r="A166" s="400" t="s">
        <v>2733</v>
      </c>
      <c r="B166" s="72">
        <v>1</v>
      </c>
    </row>
    <row r="167" spans="1:256" s="73" customFormat="1">
      <c r="A167" s="400" t="s">
        <v>2734</v>
      </c>
      <c r="B167" s="72">
        <v>1.5</v>
      </c>
    </row>
    <row r="168" spans="1:256" s="73" customFormat="1">
      <c r="A168" s="400" t="s">
        <v>2735</v>
      </c>
      <c r="B168" s="72">
        <v>1.5</v>
      </c>
    </row>
    <row r="169" spans="1:256" s="73" customFormat="1">
      <c r="A169" s="400" t="s">
        <v>2736</v>
      </c>
      <c r="B169" s="72">
        <v>1</v>
      </c>
    </row>
    <row r="170" spans="1:256" s="73" customFormat="1">
      <c r="A170" s="400" t="s">
        <v>2753</v>
      </c>
      <c r="B170" s="72">
        <v>1</v>
      </c>
    </row>
    <row r="171" spans="1:256" s="73" customFormat="1">
      <c r="A171" s="400" t="s">
        <v>2754</v>
      </c>
      <c r="B171" s="72">
        <v>1</v>
      </c>
    </row>
    <row r="172" spans="1:256" s="73" customFormat="1">
      <c r="A172" s="400" t="s">
        <v>2755</v>
      </c>
      <c r="B172" s="72">
        <v>1</v>
      </c>
    </row>
    <row r="173" spans="1:256" s="73" customFormat="1" ht="15.75" thickBot="1">
      <c r="A173" s="593" t="s">
        <v>606</v>
      </c>
      <c r="B173" s="72">
        <f>SUM(B8:B172)</f>
        <v>540.5</v>
      </c>
      <c r="C173" s="73">
        <f>305-10</f>
        <v>295</v>
      </c>
    </row>
    <row r="174" spans="1:256">
      <c r="A174" s="78"/>
      <c r="B174" s="75"/>
    </row>
    <row r="175" spans="1:256"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79"/>
      <c r="BK175" s="179"/>
      <c r="BL175" s="179"/>
      <c r="BM175" s="179"/>
      <c r="BN175" s="179"/>
      <c r="BO175" s="179"/>
      <c r="BP175" s="179"/>
      <c r="BQ175" s="179"/>
      <c r="BR175" s="179"/>
      <c r="BS175" s="179"/>
      <c r="BT175" s="179"/>
      <c r="BU175" s="179"/>
      <c r="BV175" s="179"/>
      <c r="BW175" s="179"/>
      <c r="BX175" s="179"/>
      <c r="BY175" s="179"/>
      <c r="BZ175" s="179"/>
      <c r="CA175" s="179"/>
      <c r="CB175" s="179"/>
      <c r="CC175" s="179"/>
      <c r="CD175" s="179"/>
      <c r="CE175" s="179"/>
      <c r="CF175" s="179"/>
      <c r="CG175" s="179"/>
      <c r="CH175" s="179"/>
      <c r="CI175" s="179"/>
      <c r="CJ175" s="179"/>
      <c r="CK175" s="179"/>
      <c r="CL175" s="179"/>
      <c r="CM175" s="179"/>
      <c r="CN175" s="179"/>
      <c r="CO175" s="179"/>
      <c r="CP175" s="179"/>
      <c r="CQ175" s="179"/>
      <c r="CR175" s="179"/>
      <c r="CS175" s="179"/>
      <c r="CT175" s="179"/>
      <c r="CU175" s="179"/>
      <c r="CV175" s="179"/>
      <c r="CW175" s="179"/>
      <c r="CX175" s="179"/>
      <c r="CY175" s="179"/>
      <c r="CZ175" s="179"/>
      <c r="DA175" s="179"/>
      <c r="DB175" s="179"/>
      <c r="DC175" s="179"/>
      <c r="DD175" s="179"/>
      <c r="DE175" s="179"/>
      <c r="DF175" s="179"/>
      <c r="DG175" s="179"/>
      <c r="DH175" s="179"/>
      <c r="DI175" s="179"/>
      <c r="DJ175" s="179"/>
      <c r="DK175" s="179"/>
      <c r="DL175" s="179"/>
      <c r="DM175" s="179"/>
      <c r="DN175" s="179"/>
      <c r="DO175" s="179"/>
      <c r="DP175" s="179"/>
      <c r="DQ175" s="179"/>
      <c r="DR175" s="179"/>
      <c r="DS175" s="179"/>
      <c r="DT175" s="179"/>
      <c r="DU175" s="179"/>
      <c r="DV175" s="179"/>
      <c r="DW175" s="179"/>
      <c r="DX175" s="179"/>
      <c r="DY175" s="179"/>
      <c r="DZ175" s="179"/>
      <c r="EA175" s="179"/>
      <c r="EB175" s="179"/>
      <c r="EC175" s="179"/>
      <c r="ED175" s="179"/>
      <c r="EE175" s="179"/>
      <c r="EF175" s="179"/>
      <c r="EG175" s="179"/>
      <c r="EH175" s="179"/>
      <c r="EI175" s="179"/>
      <c r="EJ175" s="179"/>
      <c r="EK175" s="179"/>
      <c r="EL175" s="179"/>
      <c r="EM175" s="179"/>
      <c r="EN175" s="179"/>
      <c r="EO175" s="179"/>
      <c r="EP175" s="179"/>
      <c r="EQ175" s="179"/>
      <c r="ER175" s="179"/>
      <c r="ES175" s="179"/>
      <c r="ET175" s="179"/>
      <c r="EU175" s="179"/>
      <c r="EV175" s="179"/>
      <c r="EW175" s="179"/>
      <c r="EX175" s="179"/>
      <c r="EY175" s="179"/>
      <c r="EZ175" s="179"/>
      <c r="FA175" s="179"/>
      <c r="FB175" s="179"/>
      <c r="FC175" s="179"/>
      <c r="FD175" s="179"/>
      <c r="FE175" s="179"/>
      <c r="FF175" s="179"/>
      <c r="FG175" s="179"/>
      <c r="FH175" s="179"/>
      <c r="FI175" s="179"/>
      <c r="FJ175" s="179"/>
      <c r="FK175" s="179"/>
      <c r="FL175" s="179"/>
      <c r="FM175" s="179"/>
      <c r="FN175" s="179"/>
      <c r="FO175" s="179"/>
      <c r="FP175" s="179"/>
      <c r="FQ175" s="179"/>
      <c r="FR175" s="179"/>
      <c r="FS175" s="179"/>
      <c r="FT175" s="179"/>
      <c r="FU175" s="179"/>
      <c r="FV175" s="179"/>
      <c r="FW175" s="179"/>
      <c r="FX175" s="179"/>
      <c r="FY175" s="179"/>
      <c r="FZ175" s="179"/>
      <c r="GA175" s="179"/>
      <c r="GB175" s="179"/>
      <c r="GC175" s="179"/>
      <c r="GD175" s="179"/>
      <c r="GE175" s="179"/>
      <c r="GF175" s="179"/>
      <c r="GG175" s="179"/>
      <c r="GH175" s="179"/>
      <c r="GI175" s="179"/>
      <c r="GJ175" s="179"/>
      <c r="GK175" s="179"/>
      <c r="GL175" s="179"/>
      <c r="GM175" s="179"/>
      <c r="GN175" s="179"/>
      <c r="GO175" s="179"/>
      <c r="GP175" s="179"/>
      <c r="GQ175" s="179"/>
      <c r="GR175" s="179"/>
      <c r="GS175" s="179"/>
      <c r="GT175" s="179"/>
      <c r="GU175" s="179"/>
      <c r="GV175" s="179"/>
      <c r="GW175" s="179"/>
      <c r="GX175" s="179"/>
      <c r="GY175" s="179"/>
      <c r="GZ175" s="179"/>
      <c r="HA175" s="179"/>
      <c r="HB175" s="179"/>
      <c r="HC175" s="179"/>
      <c r="HD175" s="179"/>
      <c r="HE175" s="179"/>
      <c r="HF175" s="179"/>
      <c r="HG175" s="179"/>
      <c r="HH175" s="179"/>
      <c r="HI175" s="179"/>
      <c r="HJ175" s="179"/>
      <c r="HK175" s="179"/>
      <c r="HL175" s="179"/>
      <c r="HM175" s="179"/>
      <c r="HN175" s="179"/>
      <c r="HO175" s="179"/>
      <c r="HP175" s="179"/>
      <c r="HQ175" s="179"/>
      <c r="HR175" s="179"/>
      <c r="HS175" s="179"/>
      <c r="HT175" s="179"/>
      <c r="HU175" s="179"/>
      <c r="HV175" s="179"/>
      <c r="HW175" s="179"/>
      <c r="HX175" s="179"/>
      <c r="HY175" s="179"/>
      <c r="HZ175" s="179"/>
      <c r="IA175" s="179"/>
      <c r="IB175" s="179"/>
      <c r="IC175" s="179"/>
      <c r="ID175" s="179"/>
      <c r="IE175" s="179"/>
      <c r="IF175" s="179"/>
      <c r="IG175" s="179"/>
      <c r="IH175" s="179"/>
      <c r="II175" s="179"/>
      <c r="IJ175" s="179"/>
      <c r="IK175" s="179"/>
      <c r="IL175" s="179"/>
      <c r="IM175" s="179"/>
      <c r="IN175" s="179"/>
      <c r="IO175" s="179"/>
      <c r="IP175" s="179"/>
      <c r="IQ175" s="179"/>
      <c r="IR175" s="179"/>
      <c r="IS175" s="179"/>
      <c r="IT175" s="179"/>
      <c r="IU175" s="179"/>
      <c r="IV175" s="179"/>
    </row>
    <row r="176" spans="1:256">
      <c r="A176" s="744" t="s">
        <v>585</v>
      </c>
      <c r="B176" s="744"/>
      <c r="C176" s="744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  <c r="BM176" s="179"/>
      <c r="BN176" s="179"/>
      <c r="BO176" s="179"/>
      <c r="BP176" s="179"/>
      <c r="BQ176" s="179"/>
      <c r="BR176" s="179"/>
      <c r="BS176" s="179"/>
      <c r="BT176" s="179"/>
      <c r="BU176" s="179"/>
      <c r="BV176" s="179"/>
      <c r="BW176" s="179"/>
      <c r="BX176" s="179"/>
      <c r="BY176" s="179"/>
      <c r="BZ176" s="179"/>
      <c r="CA176" s="179"/>
      <c r="CB176" s="179"/>
      <c r="CC176" s="179"/>
      <c r="CD176" s="179"/>
      <c r="CE176" s="179"/>
      <c r="CF176" s="179"/>
      <c r="CG176" s="179"/>
      <c r="CH176" s="179"/>
      <c r="CI176" s="179"/>
      <c r="CJ176" s="179"/>
      <c r="CK176" s="179"/>
      <c r="CL176" s="179"/>
      <c r="CM176" s="179"/>
      <c r="CN176" s="179"/>
      <c r="CO176" s="179"/>
      <c r="CP176" s="179"/>
      <c r="CQ176" s="179"/>
      <c r="CR176" s="179"/>
      <c r="CS176" s="179"/>
      <c r="CT176" s="179"/>
      <c r="CU176" s="179"/>
      <c r="CV176" s="179"/>
      <c r="CW176" s="179"/>
      <c r="CX176" s="179"/>
      <c r="CY176" s="179"/>
      <c r="CZ176" s="179"/>
      <c r="DA176" s="179"/>
      <c r="DB176" s="179"/>
      <c r="DC176" s="179"/>
      <c r="DD176" s="179"/>
      <c r="DE176" s="179"/>
      <c r="DF176" s="179"/>
      <c r="DG176" s="179"/>
      <c r="DH176" s="179"/>
      <c r="DI176" s="179"/>
      <c r="DJ176" s="179"/>
      <c r="DK176" s="179"/>
      <c r="DL176" s="179"/>
      <c r="DM176" s="179"/>
      <c r="DN176" s="179"/>
      <c r="DO176" s="179"/>
      <c r="DP176" s="179"/>
      <c r="DQ176" s="179"/>
      <c r="DR176" s="179"/>
      <c r="DS176" s="179"/>
      <c r="DT176" s="179"/>
      <c r="DU176" s="179"/>
      <c r="DV176" s="179"/>
      <c r="DW176" s="179"/>
      <c r="DX176" s="179"/>
      <c r="DY176" s="179"/>
      <c r="DZ176" s="179"/>
      <c r="EA176" s="179"/>
      <c r="EB176" s="179"/>
      <c r="EC176" s="179"/>
      <c r="ED176" s="179"/>
      <c r="EE176" s="179"/>
      <c r="EF176" s="179"/>
      <c r="EG176" s="179"/>
      <c r="EH176" s="179"/>
      <c r="EI176" s="179"/>
      <c r="EJ176" s="179"/>
      <c r="EK176" s="179"/>
      <c r="EL176" s="179"/>
      <c r="EM176" s="179"/>
      <c r="EN176" s="179"/>
      <c r="EO176" s="179"/>
      <c r="EP176" s="179"/>
      <c r="EQ176" s="179"/>
      <c r="ER176" s="179"/>
      <c r="ES176" s="179"/>
      <c r="ET176" s="179"/>
      <c r="EU176" s="179"/>
      <c r="EV176" s="179"/>
      <c r="EW176" s="179"/>
      <c r="EX176" s="179"/>
      <c r="EY176" s="179"/>
      <c r="EZ176" s="179"/>
      <c r="FA176" s="179"/>
      <c r="FB176" s="179"/>
      <c r="FC176" s="179"/>
      <c r="FD176" s="179"/>
      <c r="FE176" s="179"/>
      <c r="FF176" s="179"/>
      <c r="FG176" s="179"/>
      <c r="FH176" s="179"/>
      <c r="FI176" s="179"/>
      <c r="FJ176" s="179"/>
      <c r="FK176" s="179"/>
      <c r="FL176" s="179"/>
      <c r="FM176" s="179"/>
      <c r="FN176" s="179"/>
      <c r="FO176" s="179"/>
      <c r="FP176" s="179"/>
      <c r="FQ176" s="179"/>
      <c r="FR176" s="179"/>
      <c r="FS176" s="179"/>
      <c r="FT176" s="179"/>
      <c r="FU176" s="179"/>
      <c r="FV176" s="179"/>
      <c r="FW176" s="179"/>
      <c r="FX176" s="179"/>
      <c r="FY176" s="179"/>
      <c r="FZ176" s="179"/>
      <c r="GA176" s="179"/>
      <c r="GB176" s="179"/>
      <c r="GC176" s="179"/>
      <c r="GD176" s="179"/>
      <c r="GE176" s="179"/>
      <c r="GF176" s="179"/>
      <c r="GG176" s="179"/>
      <c r="GH176" s="179"/>
      <c r="GI176" s="179"/>
      <c r="GJ176" s="179"/>
      <c r="GK176" s="179"/>
      <c r="GL176" s="179"/>
      <c r="GM176" s="179"/>
      <c r="GN176" s="179"/>
      <c r="GO176" s="179"/>
      <c r="GP176" s="179"/>
      <c r="GQ176" s="179"/>
      <c r="GR176" s="179"/>
      <c r="GS176" s="179"/>
      <c r="GT176" s="179"/>
      <c r="GU176" s="179"/>
      <c r="GV176" s="179"/>
      <c r="GW176" s="179"/>
      <c r="GX176" s="179"/>
      <c r="GY176" s="179"/>
      <c r="GZ176" s="179"/>
      <c r="HA176" s="179"/>
      <c r="HB176" s="179"/>
      <c r="HC176" s="179"/>
      <c r="HD176" s="179"/>
      <c r="HE176" s="179"/>
      <c r="HF176" s="179"/>
      <c r="HG176" s="179"/>
      <c r="HH176" s="179"/>
      <c r="HI176" s="179"/>
      <c r="HJ176" s="179"/>
      <c r="HK176" s="179"/>
      <c r="HL176" s="179"/>
      <c r="HM176" s="179"/>
      <c r="HN176" s="179"/>
      <c r="HO176" s="179"/>
      <c r="HP176" s="179"/>
      <c r="HQ176" s="179"/>
      <c r="HR176" s="179"/>
      <c r="HS176" s="179"/>
      <c r="HT176" s="179"/>
      <c r="HU176" s="179"/>
      <c r="HV176" s="179"/>
      <c r="HW176" s="179"/>
      <c r="HX176" s="179"/>
      <c r="HY176" s="179"/>
      <c r="HZ176" s="179"/>
      <c r="IA176" s="179"/>
      <c r="IB176" s="179"/>
      <c r="IC176" s="179"/>
      <c r="ID176" s="179"/>
      <c r="IE176" s="179"/>
      <c r="IF176" s="179"/>
      <c r="IG176" s="179"/>
      <c r="IH176" s="179"/>
      <c r="II176" s="179"/>
      <c r="IJ176" s="179"/>
      <c r="IK176" s="179"/>
      <c r="IL176" s="179"/>
      <c r="IM176" s="179"/>
      <c r="IN176" s="179"/>
      <c r="IO176" s="179"/>
      <c r="IP176" s="179"/>
      <c r="IQ176" s="179"/>
      <c r="IR176" s="179"/>
      <c r="IS176" s="179"/>
      <c r="IT176" s="179"/>
      <c r="IU176" s="179"/>
      <c r="IV176" s="179"/>
    </row>
    <row r="177" spans="1:255" s="179" customFormat="1" ht="43.5" customHeight="1">
      <c r="A177" s="583" t="s">
        <v>1595</v>
      </c>
      <c r="IU177"/>
    </row>
    <row r="178" spans="1:255">
      <c r="A178" s="180" t="s">
        <v>593</v>
      </c>
      <c r="B178" s="196">
        <v>2582.5</v>
      </c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  <c r="BI178" s="179"/>
      <c r="BJ178" s="179"/>
      <c r="BK178" s="179"/>
      <c r="BL178" s="179"/>
      <c r="BM178" s="179"/>
      <c r="BN178" s="179"/>
      <c r="BO178" s="179"/>
      <c r="BP178" s="179"/>
      <c r="BQ178" s="179"/>
      <c r="BR178" s="179"/>
      <c r="BS178" s="179"/>
      <c r="BT178" s="179"/>
      <c r="BU178" s="179"/>
      <c r="BV178" s="179"/>
      <c r="BW178" s="179"/>
      <c r="BX178" s="179"/>
      <c r="BY178" s="179"/>
      <c r="BZ178" s="179"/>
      <c r="CA178" s="179"/>
      <c r="CB178" s="179"/>
      <c r="CC178" s="179"/>
      <c r="CD178" s="179"/>
      <c r="CE178" s="179"/>
      <c r="CF178" s="179"/>
      <c r="CG178" s="179"/>
      <c r="CH178" s="179"/>
      <c r="CI178" s="179"/>
      <c r="CJ178" s="179"/>
      <c r="CK178" s="179"/>
      <c r="CL178" s="179"/>
      <c r="CM178" s="179"/>
      <c r="CN178" s="179"/>
      <c r="CO178" s="179"/>
      <c r="CP178" s="179"/>
      <c r="CQ178" s="179"/>
      <c r="CR178" s="179"/>
      <c r="CS178" s="179"/>
      <c r="CT178" s="179"/>
      <c r="CU178" s="179"/>
      <c r="CV178" s="179"/>
      <c r="CW178" s="179"/>
      <c r="CX178" s="179"/>
      <c r="CY178" s="179"/>
      <c r="CZ178" s="179"/>
      <c r="DA178" s="179"/>
      <c r="DB178" s="179"/>
      <c r="DC178" s="179"/>
      <c r="DD178" s="179"/>
      <c r="DE178" s="179"/>
      <c r="DF178" s="179"/>
      <c r="DG178" s="179"/>
      <c r="DH178" s="179"/>
      <c r="DI178" s="179"/>
      <c r="DJ178" s="179"/>
      <c r="DK178" s="179"/>
      <c r="DL178" s="179"/>
      <c r="DM178" s="179"/>
      <c r="DN178" s="179"/>
      <c r="DO178" s="179"/>
      <c r="DP178" s="179"/>
      <c r="DQ178" s="179"/>
      <c r="DR178" s="179"/>
      <c r="DS178" s="179"/>
      <c r="DT178" s="179"/>
      <c r="DU178" s="179"/>
      <c r="DV178" s="179"/>
      <c r="DW178" s="179"/>
      <c r="DX178" s="179"/>
      <c r="DY178" s="179"/>
      <c r="DZ178" s="179"/>
      <c r="EA178" s="179"/>
      <c r="EB178" s="179"/>
      <c r="EC178" s="179"/>
      <c r="ED178" s="179"/>
      <c r="EE178" s="179"/>
      <c r="EF178" s="179"/>
      <c r="EG178" s="179"/>
      <c r="EH178" s="179"/>
      <c r="EI178" s="179"/>
      <c r="EJ178" s="179"/>
      <c r="EK178" s="179"/>
      <c r="EL178" s="179"/>
      <c r="EM178" s="179"/>
      <c r="EN178" s="179"/>
      <c r="EO178" s="179"/>
      <c r="EP178" s="179"/>
      <c r="EQ178" s="179"/>
      <c r="ER178" s="179"/>
      <c r="ES178" s="179"/>
      <c r="ET178" s="179"/>
      <c r="EU178" s="179"/>
      <c r="EV178" s="179"/>
      <c r="EW178" s="179"/>
      <c r="EX178" s="179"/>
      <c r="EY178" s="179"/>
      <c r="EZ178" s="179"/>
      <c r="FA178" s="179"/>
      <c r="FB178" s="179"/>
      <c r="FC178" s="179"/>
      <c r="FD178" s="179"/>
      <c r="FE178" s="179"/>
      <c r="FF178" s="179"/>
      <c r="FG178" s="179"/>
      <c r="FH178" s="179"/>
      <c r="FI178" s="179"/>
      <c r="FJ178" s="179"/>
      <c r="FK178" s="179"/>
      <c r="FL178" s="179"/>
      <c r="FM178" s="179"/>
      <c r="FN178" s="179"/>
      <c r="FO178" s="179"/>
      <c r="FP178" s="179"/>
      <c r="FQ178" s="179"/>
      <c r="FR178" s="179"/>
      <c r="FS178" s="179"/>
      <c r="FT178" s="179"/>
      <c r="FU178" s="179"/>
      <c r="FV178" s="179"/>
      <c r="FW178" s="179"/>
      <c r="FX178" s="179"/>
      <c r="FY178" s="179"/>
      <c r="FZ178" s="179"/>
      <c r="GA178" s="179"/>
      <c r="GB178" s="179"/>
      <c r="GC178" s="179"/>
      <c r="GD178" s="179"/>
      <c r="GE178" s="179"/>
      <c r="GF178" s="179"/>
      <c r="GG178" s="179"/>
      <c r="GH178" s="179"/>
      <c r="GI178" s="179"/>
      <c r="GJ178" s="179"/>
      <c r="GK178" s="179"/>
      <c r="GL178" s="179"/>
      <c r="GM178" s="179"/>
      <c r="GN178" s="179"/>
      <c r="GO178" s="179"/>
      <c r="GP178" s="179"/>
      <c r="GQ178" s="179"/>
      <c r="GR178" s="179"/>
      <c r="GS178" s="179"/>
      <c r="GT178" s="179"/>
      <c r="GU178" s="179"/>
      <c r="GV178" s="179"/>
      <c r="GW178" s="179"/>
      <c r="GX178" s="179"/>
      <c r="GY178" s="179"/>
      <c r="GZ178" s="179"/>
      <c r="HA178" s="179"/>
      <c r="HB178" s="179"/>
      <c r="HC178" s="179"/>
      <c r="HD178" s="179"/>
      <c r="HE178" s="179"/>
      <c r="HF178" s="179"/>
      <c r="HG178" s="179"/>
      <c r="HH178" s="179"/>
      <c r="HI178" s="179"/>
      <c r="HJ178" s="179"/>
      <c r="HK178" s="179"/>
      <c r="HL178" s="179"/>
      <c r="HM178" s="179"/>
      <c r="HN178" s="179"/>
      <c r="HO178" s="179"/>
      <c r="HP178" s="179"/>
      <c r="HQ178" s="179"/>
      <c r="HR178" s="179"/>
      <c r="HS178" s="179"/>
      <c r="HT178" s="179"/>
      <c r="HU178" s="179"/>
      <c r="HV178" s="179"/>
      <c r="HW178" s="179"/>
      <c r="HX178" s="179"/>
      <c r="HY178" s="179"/>
      <c r="HZ178" s="179"/>
      <c r="IA178" s="179"/>
      <c r="IB178" s="179"/>
      <c r="IC178" s="179"/>
      <c r="ID178" s="179"/>
      <c r="IE178" s="179"/>
      <c r="IF178" s="179"/>
      <c r="IG178" s="179"/>
      <c r="IH178" s="179"/>
      <c r="II178" s="179"/>
      <c r="IJ178" s="179"/>
      <c r="IK178" s="179"/>
      <c r="IL178" s="179"/>
      <c r="IM178" s="179"/>
      <c r="IN178" s="179"/>
      <c r="IO178" s="179"/>
      <c r="IP178" s="179"/>
      <c r="IQ178" s="179"/>
      <c r="IR178" s="179"/>
      <c r="IS178" s="179"/>
      <c r="IT178" s="179"/>
    </row>
    <row r="179" spans="1:255">
      <c r="A179" s="180" t="s">
        <v>594</v>
      </c>
      <c r="B179" s="196">
        <v>19.16</v>
      </c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79"/>
      <c r="AW179" s="179"/>
      <c r="AX179" s="179"/>
      <c r="AY179" s="179"/>
      <c r="AZ179" s="179"/>
      <c r="BA179" s="179"/>
      <c r="BB179" s="179"/>
      <c r="BC179" s="179"/>
      <c r="BD179" s="179"/>
      <c r="BE179" s="179"/>
      <c r="BF179" s="179"/>
      <c r="BG179" s="179"/>
      <c r="BH179" s="179"/>
      <c r="BI179" s="179"/>
      <c r="BJ179" s="179"/>
      <c r="BK179" s="179"/>
      <c r="BL179" s="179"/>
      <c r="BM179" s="179"/>
      <c r="BN179" s="179"/>
      <c r="BO179" s="179"/>
      <c r="BP179" s="179"/>
      <c r="BQ179" s="179"/>
      <c r="BR179" s="179"/>
      <c r="BS179" s="179"/>
      <c r="BT179" s="179"/>
      <c r="BU179" s="179"/>
      <c r="BV179" s="179"/>
      <c r="BW179" s="179"/>
      <c r="BX179" s="179"/>
      <c r="BY179" s="179"/>
      <c r="BZ179" s="179"/>
      <c r="CA179" s="179"/>
      <c r="CB179" s="179"/>
      <c r="CC179" s="179"/>
      <c r="CD179" s="179"/>
      <c r="CE179" s="179"/>
      <c r="CF179" s="179"/>
      <c r="CG179" s="179"/>
      <c r="CH179" s="179"/>
      <c r="CI179" s="179"/>
      <c r="CJ179" s="179"/>
      <c r="CK179" s="179"/>
      <c r="CL179" s="179"/>
      <c r="CM179" s="179"/>
      <c r="CN179" s="179"/>
      <c r="CO179" s="179"/>
      <c r="CP179" s="179"/>
      <c r="CQ179" s="179"/>
      <c r="CR179" s="179"/>
      <c r="CS179" s="179"/>
      <c r="CT179" s="179"/>
      <c r="CU179" s="179"/>
      <c r="CV179" s="179"/>
      <c r="CW179" s="179"/>
      <c r="CX179" s="179"/>
      <c r="CY179" s="179"/>
      <c r="CZ179" s="179"/>
      <c r="DA179" s="179"/>
      <c r="DB179" s="179"/>
      <c r="DC179" s="179"/>
      <c r="DD179" s="179"/>
      <c r="DE179" s="179"/>
      <c r="DF179" s="179"/>
      <c r="DG179" s="179"/>
      <c r="DH179" s="179"/>
      <c r="DI179" s="179"/>
      <c r="DJ179" s="179"/>
      <c r="DK179" s="179"/>
      <c r="DL179" s="179"/>
      <c r="DM179" s="179"/>
      <c r="DN179" s="179"/>
      <c r="DO179" s="179"/>
      <c r="DP179" s="179"/>
      <c r="DQ179" s="179"/>
      <c r="DR179" s="179"/>
      <c r="DS179" s="179"/>
      <c r="DT179" s="179"/>
      <c r="DU179" s="179"/>
      <c r="DV179" s="179"/>
      <c r="DW179" s="179"/>
      <c r="DX179" s="179"/>
      <c r="DY179" s="179"/>
      <c r="DZ179" s="179"/>
      <c r="EA179" s="179"/>
      <c r="EB179" s="179"/>
      <c r="EC179" s="179"/>
      <c r="ED179" s="179"/>
      <c r="EE179" s="179"/>
      <c r="EF179" s="179"/>
      <c r="EG179" s="179"/>
      <c r="EH179" s="179"/>
      <c r="EI179" s="179"/>
      <c r="EJ179" s="179"/>
      <c r="EK179" s="179"/>
      <c r="EL179" s="179"/>
      <c r="EM179" s="179"/>
      <c r="EN179" s="179"/>
      <c r="EO179" s="179"/>
      <c r="EP179" s="179"/>
      <c r="EQ179" s="179"/>
      <c r="ER179" s="179"/>
      <c r="ES179" s="179"/>
      <c r="ET179" s="179"/>
      <c r="EU179" s="179"/>
      <c r="EV179" s="179"/>
      <c r="EW179" s="179"/>
      <c r="EX179" s="179"/>
      <c r="EY179" s="179"/>
      <c r="EZ179" s="179"/>
      <c r="FA179" s="179"/>
      <c r="FB179" s="179"/>
      <c r="FC179" s="179"/>
      <c r="FD179" s="179"/>
      <c r="FE179" s="179"/>
      <c r="FF179" s="179"/>
      <c r="FG179" s="179"/>
      <c r="FH179" s="179"/>
      <c r="FI179" s="179"/>
      <c r="FJ179" s="179"/>
      <c r="FK179" s="179"/>
      <c r="FL179" s="179"/>
      <c r="FM179" s="179"/>
      <c r="FN179" s="179"/>
      <c r="FO179" s="179"/>
      <c r="FP179" s="179"/>
      <c r="FQ179" s="179"/>
      <c r="FR179" s="179"/>
      <c r="FS179" s="179"/>
      <c r="FT179" s="179"/>
      <c r="FU179" s="179"/>
      <c r="FV179" s="179"/>
      <c r="FW179" s="179"/>
      <c r="FX179" s="179"/>
      <c r="FY179" s="179"/>
      <c r="FZ179" s="179"/>
      <c r="GA179" s="179"/>
      <c r="GB179" s="179"/>
      <c r="GC179" s="179"/>
      <c r="GD179" s="179"/>
      <c r="GE179" s="179"/>
      <c r="GF179" s="179"/>
      <c r="GG179" s="179"/>
      <c r="GH179" s="179"/>
      <c r="GI179" s="179"/>
      <c r="GJ179" s="179"/>
      <c r="GK179" s="179"/>
      <c r="GL179" s="179"/>
      <c r="GM179" s="179"/>
      <c r="GN179" s="179"/>
      <c r="GO179" s="179"/>
      <c r="GP179" s="179"/>
      <c r="GQ179" s="179"/>
      <c r="GR179" s="179"/>
      <c r="GS179" s="179"/>
      <c r="GT179" s="179"/>
      <c r="GU179" s="179"/>
      <c r="GV179" s="179"/>
      <c r="GW179" s="179"/>
      <c r="GX179" s="179"/>
      <c r="GY179" s="179"/>
      <c r="GZ179" s="179"/>
      <c r="HA179" s="179"/>
      <c r="HB179" s="179"/>
      <c r="HC179" s="179"/>
      <c r="HD179" s="179"/>
      <c r="HE179" s="179"/>
      <c r="HF179" s="179"/>
      <c r="HG179" s="179"/>
      <c r="HH179" s="179"/>
      <c r="HI179" s="179"/>
      <c r="HJ179" s="179"/>
      <c r="HK179" s="179"/>
      <c r="HL179" s="179"/>
      <c r="HM179" s="179"/>
      <c r="HN179" s="179"/>
      <c r="HO179" s="179"/>
      <c r="HP179" s="179"/>
      <c r="HQ179" s="179"/>
      <c r="HR179" s="179"/>
      <c r="HS179" s="179"/>
      <c r="HT179" s="179"/>
      <c r="HU179" s="179"/>
      <c r="HV179" s="179"/>
      <c r="HW179" s="179"/>
      <c r="HX179" s="179"/>
      <c r="HY179" s="179"/>
      <c r="HZ179" s="179"/>
      <c r="IA179" s="179"/>
      <c r="IB179" s="179"/>
      <c r="IC179" s="179"/>
      <c r="ID179" s="179"/>
      <c r="IE179" s="179"/>
      <c r="IF179" s="179"/>
      <c r="IG179" s="179"/>
      <c r="IH179" s="179"/>
      <c r="II179" s="179"/>
      <c r="IJ179" s="179"/>
      <c r="IK179" s="179"/>
      <c r="IL179" s="179"/>
      <c r="IM179" s="179"/>
      <c r="IN179" s="179"/>
      <c r="IO179" s="179"/>
      <c r="IP179" s="179"/>
      <c r="IQ179" s="179"/>
      <c r="IR179" s="179"/>
      <c r="IS179" s="179"/>
      <c r="IT179" s="179"/>
    </row>
    <row r="180" spans="1:255" s="73" customFormat="1">
      <c r="A180" s="193" t="s">
        <v>711</v>
      </c>
      <c r="B180" s="193">
        <v>141163.29999999999</v>
      </c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  <c r="AD180" s="230"/>
      <c r="AE180" s="230"/>
      <c r="AF180" s="230"/>
      <c r="AG180" s="230"/>
      <c r="AH180" s="230"/>
      <c r="AI180" s="230"/>
      <c r="AJ180" s="230"/>
      <c r="AK180" s="230"/>
      <c r="AL180" s="230"/>
      <c r="AM180" s="230"/>
      <c r="AN180" s="230"/>
      <c r="AO180" s="230"/>
      <c r="AP180" s="230"/>
      <c r="AQ180" s="230"/>
      <c r="AR180" s="230"/>
      <c r="AS180" s="230"/>
      <c r="AT180" s="230"/>
      <c r="AU180" s="230"/>
      <c r="AV180" s="230"/>
      <c r="AW180" s="230"/>
      <c r="AX180" s="230"/>
      <c r="AY180" s="230"/>
      <c r="AZ180" s="230"/>
      <c r="BA180" s="230"/>
      <c r="BB180" s="230"/>
      <c r="BC180" s="230"/>
      <c r="BD180" s="230"/>
      <c r="BE180" s="230"/>
      <c r="BF180" s="230"/>
      <c r="BG180" s="230"/>
      <c r="BH180" s="230"/>
      <c r="BI180" s="230"/>
      <c r="BJ180" s="230"/>
      <c r="BK180" s="230"/>
      <c r="BL180" s="230"/>
      <c r="BM180" s="230"/>
      <c r="BN180" s="230"/>
      <c r="BO180" s="230"/>
      <c r="BP180" s="230"/>
      <c r="BQ180" s="230"/>
      <c r="BR180" s="230"/>
      <c r="BS180" s="230"/>
      <c r="BT180" s="230"/>
      <c r="BU180" s="230"/>
      <c r="BV180" s="230"/>
      <c r="BW180" s="230"/>
      <c r="BX180" s="230"/>
      <c r="BY180" s="230"/>
      <c r="BZ180" s="230"/>
      <c r="CA180" s="230"/>
      <c r="CB180" s="230"/>
      <c r="CC180" s="230"/>
      <c r="CD180" s="230"/>
      <c r="CE180" s="230"/>
      <c r="CF180" s="230"/>
      <c r="CG180" s="230"/>
      <c r="CH180" s="230"/>
      <c r="CI180" s="230"/>
      <c r="CJ180" s="230"/>
      <c r="CK180" s="230"/>
      <c r="CL180" s="230"/>
      <c r="CM180" s="230"/>
      <c r="CN180" s="230"/>
      <c r="CO180" s="230"/>
      <c r="CP180" s="230"/>
      <c r="CQ180" s="230"/>
      <c r="CR180" s="230"/>
      <c r="CS180" s="230"/>
      <c r="CT180" s="230"/>
      <c r="CU180" s="230"/>
      <c r="CV180" s="230"/>
      <c r="CW180" s="230"/>
      <c r="CX180" s="230"/>
      <c r="CY180" s="230"/>
      <c r="CZ180" s="230"/>
      <c r="DA180" s="230"/>
      <c r="DB180" s="230"/>
      <c r="DC180" s="230"/>
      <c r="DD180" s="230"/>
      <c r="DE180" s="230"/>
      <c r="DF180" s="230"/>
      <c r="DG180" s="230"/>
      <c r="DH180" s="230"/>
      <c r="DI180" s="230"/>
      <c r="DJ180" s="230"/>
      <c r="DK180" s="230"/>
      <c r="DL180" s="230"/>
      <c r="DM180" s="230"/>
      <c r="DN180" s="230"/>
      <c r="DO180" s="230"/>
      <c r="DP180" s="230"/>
      <c r="DQ180" s="230"/>
      <c r="DR180" s="230"/>
      <c r="DS180" s="230"/>
      <c r="DT180" s="230"/>
      <c r="DU180" s="230"/>
      <c r="DV180" s="230"/>
      <c r="DW180" s="230"/>
      <c r="DX180" s="230"/>
      <c r="DY180" s="230"/>
      <c r="DZ180" s="230"/>
      <c r="EA180" s="230"/>
      <c r="EB180" s="230"/>
      <c r="EC180" s="230"/>
      <c r="ED180" s="230"/>
      <c r="EE180" s="230"/>
      <c r="EF180" s="230"/>
      <c r="EG180" s="230"/>
      <c r="EH180" s="230"/>
      <c r="EI180" s="230"/>
      <c r="EJ180" s="230"/>
      <c r="EK180" s="230"/>
      <c r="EL180" s="230"/>
      <c r="EM180" s="230"/>
      <c r="EN180" s="230"/>
      <c r="EO180" s="230"/>
      <c r="EP180" s="230"/>
      <c r="EQ180" s="230"/>
      <c r="ER180" s="230"/>
      <c r="ES180" s="230"/>
      <c r="ET180" s="230"/>
      <c r="EU180" s="230"/>
      <c r="EV180" s="230"/>
      <c r="EW180" s="230"/>
      <c r="EX180" s="230"/>
      <c r="EY180" s="230"/>
      <c r="EZ180" s="230"/>
      <c r="FA180" s="230"/>
      <c r="FB180" s="230"/>
      <c r="FC180" s="230"/>
      <c r="FD180" s="230"/>
      <c r="FE180" s="230"/>
      <c r="FF180" s="230"/>
      <c r="FG180" s="230"/>
      <c r="FH180" s="230"/>
      <c r="FI180" s="230"/>
      <c r="FJ180" s="230"/>
      <c r="FK180" s="230"/>
      <c r="FL180" s="230"/>
      <c r="FM180" s="230"/>
      <c r="FN180" s="230"/>
      <c r="FO180" s="230"/>
      <c r="FP180" s="230"/>
      <c r="FQ180" s="230"/>
      <c r="FR180" s="230"/>
      <c r="FS180" s="230"/>
      <c r="FT180" s="230"/>
      <c r="FU180" s="230"/>
      <c r="FV180" s="230"/>
      <c r="FW180" s="230"/>
      <c r="FX180" s="230"/>
      <c r="FY180" s="230"/>
      <c r="FZ180" s="230"/>
      <c r="GA180" s="230"/>
      <c r="GB180" s="230"/>
      <c r="GC180" s="230"/>
      <c r="GD180" s="230"/>
      <c r="GE180" s="230"/>
      <c r="GF180" s="230"/>
      <c r="GG180" s="230"/>
      <c r="GH180" s="230"/>
      <c r="GI180" s="230"/>
      <c r="GJ180" s="230"/>
      <c r="GK180" s="230"/>
      <c r="GL180" s="230"/>
      <c r="GM180" s="230"/>
      <c r="GN180" s="230"/>
      <c r="GO180" s="230"/>
      <c r="GP180" s="230"/>
      <c r="GQ180" s="230"/>
      <c r="GR180" s="230"/>
      <c r="GS180" s="230"/>
      <c r="GT180" s="230"/>
      <c r="GU180" s="230"/>
      <c r="GV180" s="230"/>
      <c r="GW180" s="230"/>
      <c r="GX180" s="230"/>
      <c r="GY180" s="230"/>
      <c r="GZ180" s="230"/>
      <c r="HA180" s="230"/>
      <c r="HB180" s="230"/>
      <c r="HC180" s="230"/>
      <c r="HD180" s="230"/>
      <c r="HE180" s="230"/>
      <c r="HF180" s="230"/>
      <c r="HG180" s="230"/>
      <c r="HH180" s="230"/>
      <c r="HI180" s="230"/>
      <c r="HJ180" s="230"/>
      <c r="HK180" s="230"/>
      <c r="HL180" s="230"/>
      <c r="HM180" s="230"/>
      <c r="HN180" s="230"/>
      <c r="HO180" s="230"/>
      <c r="HP180" s="230"/>
      <c r="HQ180" s="230"/>
      <c r="HR180" s="230"/>
      <c r="HS180" s="230"/>
      <c r="HT180" s="230"/>
      <c r="HU180" s="230"/>
      <c r="HV180" s="230"/>
      <c r="HW180" s="230"/>
      <c r="HX180" s="230"/>
      <c r="HY180" s="230"/>
      <c r="HZ180" s="230"/>
      <c r="IA180" s="230"/>
      <c r="IB180" s="230"/>
      <c r="IC180" s="230"/>
      <c r="ID180" s="230"/>
      <c r="IE180" s="230"/>
      <c r="IF180" s="230"/>
      <c r="IG180" s="230"/>
      <c r="IH180" s="230"/>
      <c r="II180" s="230"/>
      <c r="IJ180" s="230"/>
      <c r="IK180" s="230"/>
      <c r="IL180" s="230"/>
      <c r="IM180" s="230"/>
      <c r="IN180" s="230"/>
      <c r="IO180" s="230"/>
      <c r="IP180" s="230"/>
      <c r="IQ180" s="230"/>
      <c r="IR180" s="230"/>
      <c r="IS180" s="230"/>
      <c r="IT180" s="230"/>
    </row>
    <row r="181" spans="1:255" s="73" customFormat="1">
      <c r="A181" s="193" t="s">
        <v>1607</v>
      </c>
      <c r="B181" s="193">
        <v>569055</v>
      </c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  <c r="AG181" s="230"/>
      <c r="AH181" s="230"/>
      <c r="AI181" s="230"/>
      <c r="AJ181" s="230"/>
      <c r="AK181" s="230"/>
      <c r="AL181" s="230"/>
      <c r="AM181" s="230"/>
      <c r="AN181" s="230"/>
      <c r="AO181" s="230"/>
      <c r="AP181" s="230"/>
      <c r="AQ181" s="230"/>
      <c r="AR181" s="230"/>
      <c r="AS181" s="230"/>
      <c r="AT181" s="230"/>
      <c r="AU181" s="230"/>
      <c r="AV181" s="230"/>
      <c r="AW181" s="230"/>
      <c r="AX181" s="230"/>
      <c r="AY181" s="230"/>
      <c r="AZ181" s="230"/>
      <c r="BA181" s="230"/>
      <c r="BB181" s="230"/>
      <c r="BC181" s="230"/>
      <c r="BD181" s="230"/>
      <c r="BE181" s="230"/>
      <c r="BF181" s="230"/>
      <c r="BG181" s="230"/>
      <c r="BH181" s="230"/>
      <c r="BI181" s="230"/>
      <c r="BJ181" s="230"/>
      <c r="BK181" s="230"/>
      <c r="BL181" s="230"/>
      <c r="BM181" s="230"/>
      <c r="BN181" s="230"/>
      <c r="BO181" s="230"/>
      <c r="BP181" s="230"/>
      <c r="BQ181" s="230"/>
      <c r="BR181" s="230"/>
      <c r="BS181" s="230"/>
      <c r="BT181" s="230"/>
      <c r="BU181" s="230"/>
      <c r="BV181" s="230"/>
      <c r="BW181" s="230"/>
      <c r="BX181" s="230"/>
      <c r="BY181" s="230"/>
      <c r="BZ181" s="230"/>
      <c r="CA181" s="230"/>
      <c r="CB181" s="230"/>
      <c r="CC181" s="230"/>
      <c r="CD181" s="230"/>
      <c r="CE181" s="230"/>
      <c r="CF181" s="230"/>
      <c r="CG181" s="230"/>
      <c r="CH181" s="230"/>
      <c r="CI181" s="230"/>
      <c r="CJ181" s="230"/>
      <c r="CK181" s="230"/>
      <c r="CL181" s="230"/>
      <c r="CM181" s="230"/>
      <c r="CN181" s="230"/>
      <c r="CO181" s="230"/>
      <c r="CP181" s="230"/>
      <c r="CQ181" s="230"/>
      <c r="CR181" s="230"/>
      <c r="CS181" s="230"/>
      <c r="CT181" s="230"/>
      <c r="CU181" s="230"/>
      <c r="CV181" s="230"/>
      <c r="CW181" s="230"/>
      <c r="CX181" s="230"/>
      <c r="CY181" s="230"/>
      <c r="CZ181" s="230"/>
      <c r="DA181" s="230"/>
      <c r="DB181" s="230"/>
      <c r="DC181" s="230"/>
      <c r="DD181" s="230"/>
      <c r="DE181" s="230"/>
      <c r="DF181" s="230"/>
      <c r="DG181" s="230"/>
      <c r="DH181" s="230"/>
      <c r="DI181" s="230"/>
      <c r="DJ181" s="230"/>
      <c r="DK181" s="230"/>
      <c r="DL181" s="230"/>
      <c r="DM181" s="230"/>
      <c r="DN181" s="230"/>
      <c r="DO181" s="230"/>
      <c r="DP181" s="230"/>
      <c r="DQ181" s="230"/>
      <c r="DR181" s="230"/>
      <c r="DS181" s="230"/>
      <c r="DT181" s="230"/>
      <c r="DU181" s="230"/>
      <c r="DV181" s="230"/>
      <c r="DW181" s="230"/>
      <c r="DX181" s="230"/>
      <c r="DY181" s="230"/>
      <c r="DZ181" s="230"/>
      <c r="EA181" s="230"/>
      <c r="EB181" s="230"/>
      <c r="EC181" s="230"/>
      <c r="ED181" s="230"/>
      <c r="EE181" s="230"/>
      <c r="EF181" s="230"/>
      <c r="EG181" s="230"/>
      <c r="EH181" s="230"/>
      <c r="EI181" s="230"/>
      <c r="EJ181" s="230"/>
      <c r="EK181" s="230"/>
      <c r="EL181" s="230"/>
      <c r="EM181" s="230"/>
      <c r="EN181" s="230"/>
      <c r="EO181" s="230"/>
      <c r="EP181" s="230"/>
      <c r="EQ181" s="230"/>
      <c r="ER181" s="230"/>
      <c r="ES181" s="230"/>
      <c r="ET181" s="230"/>
      <c r="EU181" s="230"/>
      <c r="EV181" s="230"/>
      <c r="EW181" s="230"/>
      <c r="EX181" s="230"/>
      <c r="EY181" s="230"/>
      <c r="EZ181" s="230"/>
      <c r="FA181" s="230"/>
      <c r="FB181" s="230"/>
      <c r="FC181" s="230"/>
      <c r="FD181" s="230"/>
      <c r="FE181" s="230"/>
      <c r="FF181" s="230"/>
      <c r="FG181" s="230"/>
      <c r="FH181" s="230"/>
      <c r="FI181" s="230"/>
      <c r="FJ181" s="230"/>
      <c r="FK181" s="230"/>
      <c r="FL181" s="230"/>
      <c r="FM181" s="230"/>
      <c r="FN181" s="230"/>
      <c r="FO181" s="230"/>
      <c r="FP181" s="230"/>
      <c r="FQ181" s="230"/>
      <c r="FR181" s="230"/>
      <c r="FS181" s="230"/>
      <c r="FT181" s="230"/>
      <c r="FU181" s="230"/>
      <c r="FV181" s="230"/>
      <c r="FW181" s="230"/>
      <c r="FX181" s="230"/>
      <c r="FY181" s="230"/>
      <c r="FZ181" s="230"/>
      <c r="GA181" s="230"/>
      <c r="GB181" s="230"/>
      <c r="GC181" s="230"/>
      <c r="GD181" s="230"/>
      <c r="GE181" s="230"/>
      <c r="GF181" s="230"/>
      <c r="GG181" s="230"/>
      <c r="GH181" s="230"/>
      <c r="GI181" s="230"/>
      <c r="GJ181" s="230"/>
      <c r="GK181" s="230"/>
      <c r="GL181" s="230"/>
      <c r="GM181" s="230"/>
      <c r="GN181" s="230"/>
      <c r="GO181" s="230"/>
      <c r="GP181" s="230"/>
      <c r="GQ181" s="230"/>
      <c r="GR181" s="230"/>
      <c r="GS181" s="230"/>
      <c r="GT181" s="230"/>
      <c r="GU181" s="230"/>
      <c r="GV181" s="230"/>
      <c r="GW181" s="230"/>
      <c r="GX181" s="230"/>
      <c r="GY181" s="230"/>
      <c r="GZ181" s="230"/>
      <c r="HA181" s="230"/>
      <c r="HB181" s="230"/>
      <c r="HC181" s="230"/>
      <c r="HD181" s="230"/>
      <c r="HE181" s="230"/>
      <c r="HF181" s="230"/>
      <c r="HG181" s="230"/>
      <c r="HH181" s="230"/>
      <c r="HI181" s="230"/>
      <c r="HJ181" s="230"/>
      <c r="HK181" s="230"/>
      <c r="HL181" s="230"/>
      <c r="HM181" s="230"/>
      <c r="HN181" s="230"/>
      <c r="HO181" s="230"/>
      <c r="HP181" s="230"/>
      <c r="HQ181" s="230"/>
      <c r="HR181" s="230"/>
      <c r="HS181" s="230"/>
      <c r="HT181" s="230"/>
      <c r="HU181" s="230"/>
      <c r="HV181" s="230"/>
      <c r="HW181" s="230"/>
      <c r="HX181" s="230"/>
      <c r="HY181" s="230"/>
      <c r="HZ181" s="230"/>
      <c r="IA181" s="230"/>
      <c r="IB181" s="230"/>
      <c r="IC181" s="230"/>
      <c r="ID181" s="230"/>
      <c r="IE181" s="230"/>
      <c r="IF181" s="230"/>
      <c r="IG181" s="230"/>
      <c r="IH181" s="230"/>
      <c r="II181" s="230"/>
      <c r="IJ181" s="230"/>
      <c r="IK181" s="230"/>
      <c r="IL181" s="230"/>
      <c r="IM181" s="230"/>
      <c r="IN181" s="230"/>
      <c r="IO181" s="230"/>
      <c r="IP181" s="230"/>
      <c r="IQ181" s="230"/>
      <c r="IR181" s="230"/>
      <c r="IS181" s="230"/>
      <c r="IT181" s="230"/>
    </row>
    <row r="182" spans="1:255" s="73" customFormat="1">
      <c r="A182" s="193" t="s">
        <v>1608</v>
      </c>
      <c r="B182" s="193">
        <f>7375.5+15251.02</f>
        <v>22626.52</v>
      </c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  <c r="AG182" s="230"/>
      <c r="AH182" s="230"/>
      <c r="AI182" s="230"/>
      <c r="AJ182" s="230"/>
      <c r="AK182" s="230"/>
      <c r="AL182" s="230"/>
      <c r="AM182" s="230"/>
      <c r="AN182" s="230"/>
      <c r="AO182" s="230"/>
      <c r="AP182" s="230"/>
      <c r="AQ182" s="230"/>
      <c r="AR182" s="230"/>
      <c r="AS182" s="230"/>
      <c r="AT182" s="230"/>
      <c r="AU182" s="230"/>
      <c r="AV182" s="230"/>
      <c r="AW182" s="230"/>
      <c r="AX182" s="230"/>
      <c r="AY182" s="230"/>
      <c r="AZ182" s="230"/>
      <c r="BA182" s="230"/>
      <c r="BB182" s="230"/>
      <c r="BC182" s="230"/>
      <c r="BD182" s="230"/>
      <c r="BE182" s="230"/>
      <c r="BF182" s="230"/>
      <c r="BG182" s="230"/>
      <c r="BH182" s="230"/>
      <c r="BI182" s="230"/>
      <c r="BJ182" s="230"/>
      <c r="BK182" s="230"/>
      <c r="BL182" s="230"/>
      <c r="BM182" s="230"/>
      <c r="BN182" s="230"/>
      <c r="BO182" s="230"/>
      <c r="BP182" s="230"/>
      <c r="BQ182" s="230"/>
      <c r="BR182" s="230"/>
      <c r="BS182" s="230"/>
      <c r="BT182" s="230"/>
      <c r="BU182" s="230"/>
      <c r="BV182" s="230"/>
      <c r="BW182" s="230"/>
      <c r="BX182" s="230"/>
      <c r="BY182" s="230"/>
      <c r="BZ182" s="230"/>
      <c r="CA182" s="230"/>
      <c r="CB182" s="230"/>
      <c r="CC182" s="230"/>
      <c r="CD182" s="230"/>
      <c r="CE182" s="230"/>
      <c r="CF182" s="230"/>
      <c r="CG182" s="230"/>
      <c r="CH182" s="230"/>
      <c r="CI182" s="230"/>
      <c r="CJ182" s="230"/>
      <c r="CK182" s="230"/>
      <c r="CL182" s="230"/>
      <c r="CM182" s="230"/>
      <c r="CN182" s="230"/>
      <c r="CO182" s="230"/>
      <c r="CP182" s="230"/>
      <c r="CQ182" s="230"/>
      <c r="CR182" s="230"/>
      <c r="CS182" s="230"/>
      <c r="CT182" s="230"/>
      <c r="CU182" s="230"/>
      <c r="CV182" s="230"/>
      <c r="CW182" s="230"/>
      <c r="CX182" s="230"/>
      <c r="CY182" s="230"/>
      <c r="CZ182" s="230"/>
      <c r="DA182" s="230"/>
      <c r="DB182" s="230"/>
      <c r="DC182" s="230"/>
      <c r="DD182" s="230"/>
      <c r="DE182" s="230"/>
      <c r="DF182" s="230"/>
      <c r="DG182" s="230"/>
      <c r="DH182" s="230"/>
      <c r="DI182" s="230"/>
      <c r="DJ182" s="230"/>
      <c r="DK182" s="230"/>
      <c r="DL182" s="230"/>
      <c r="DM182" s="230"/>
      <c r="DN182" s="230"/>
      <c r="DO182" s="230"/>
      <c r="DP182" s="230"/>
      <c r="DQ182" s="230"/>
      <c r="DR182" s="230"/>
      <c r="DS182" s="230"/>
      <c r="DT182" s="230"/>
      <c r="DU182" s="230"/>
      <c r="DV182" s="230"/>
      <c r="DW182" s="230"/>
      <c r="DX182" s="230"/>
      <c r="DY182" s="230"/>
      <c r="DZ182" s="230"/>
      <c r="EA182" s="230"/>
      <c r="EB182" s="230"/>
      <c r="EC182" s="230"/>
      <c r="ED182" s="230"/>
      <c r="EE182" s="230"/>
      <c r="EF182" s="230"/>
      <c r="EG182" s="230"/>
      <c r="EH182" s="230"/>
      <c r="EI182" s="230"/>
      <c r="EJ182" s="230"/>
      <c r="EK182" s="230"/>
      <c r="EL182" s="230"/>
      <c r="EM182" s="230"/>
      <c r="EN182" s="230"/>
      <c r="EO182" s="230"/>
      <c r="EP182" s="230"/>
      <c r="EQ182" s="230"/>
      <c r="ER182" s="230"/>
      <c r="ES182" s="230"/>
      <c r="ET182" s="230"/>
      <c r="EU182" s="230"/>
      <c r="EV182" s="230"/>
      <c r="EW182" s="230"/>
      <c r="EX182" s="230"/>
      <c r="EY182" s="230"/>
      <c r="EZ182" s="230"/>
      <c r="FA182" s="230"/>
      <c r="FB182" s="230"/>
      <c r="FC182" s="230"/>
      <c r="FD182" s="230"/>
      <c r="FE182" s="230"/>
      <c r="FF182" s="230"/>
      <c r="FG182" s="230"/>
      <c r="FH182" s="230"/>
      <c r="FI182" s="230"/>
      <c r="FJ182" s="230"/>
      <c r="FK182" s="230"/>
      <c r="FL182" s="230"/>
      <c r="FM182" s="230"/>
      <c r="FN182" s="230"/>
      <c r="FO182" s="230"/>
      <c r="FP182" s="230"/>
      <c r="FQ182" s="230"/>
      <c r="FR182" s="230"/>
      <c r="FS182" s="230"/>
      <c r="FT182" s="230"/>
      <c r="FU182" s="230"/>
      <c r="FV182" s="230"/>
      <c r="FW182" s="230"/>
      <c r="FX182" s="230"/>
      <c r="FY182" s="230"/>
      <c r="FZ182" s="230"/>
      <c r="GA182" s="230"/>
      <c r="GB182" s="230"/>
      <c r="GC182" s="230"/>
      <c r="GD182" s="230"/>
      <c r="GE182" s="230"/>
      <c r="GF182" s="230"/>
      <c r="GG182" s="230"/>
      <c r="GH182" s="230"/>
      <c r="GI182" s="230"/>
      <c r="GJ182" s="230"/>
      <c r="GK182" s="230"/>
      <c r="GL182" s="230"/>
      <c r="GM182" s="230"/>
      <c r="GN182" s="230"/>
      <c r="GO182" s="230"/>
      <c r="GP182" s="230"/>
      <c r="GQ182" s="230"/>
      <c r="GR182" s="230"/>
      <c r="GS182" s="230"/>
      <c r="GT182" s="230"/>
      <c r="GU182" s="230"/>
      <c r="GV182" s="230"/>
      <c r="GW182" s="230"/>
      <c r="GX182" s="230"/>
      <c r="GY182" s="230"/>
      <c r="GZ182" s="230"/>
      <c r="HA182" s="230"/>
      <c r="HB182" s="230"/>
      <c r="HC182" s="230"/>
      <c r="HD182" s="230"/>
      <c r="HE182" s="230"/>
      <c r="HF182" s="230"/>
      <c r="HG182" s="230"/>
      <c r="HH182" s="230"/>
      <c r="HI182" s="230"/>
      <c r="HJ182" s="230"/>
      <c r="HK182" s="230"/>
      <c r="HL182" s="230"/>
      <c r="HM182" s="230"/>
      <c r="HN182" s="230"/>
      <c r="HO182" s="230"/>
      <c r="HP182" s="230"/>
      <c r="HQ182" s="230"/>
      <c r="HR182" s="230"/>
      <c r="HS182" s="230"/>
      <c r="HT182" s="230"/>
      <c r="HU182" s="230"/>
      <c r="HV182" s="230"/>
      <c r="HW182" s="230"/>
      <c r="HX182" s="230"/>
      <c r="HY182" s="230"/>
      <c r="HZ182" s="230"/>
      <c r="IA182" s="230"/>
      <c r="IB182" s="230"/>
      <c r="IC182" s="230"/>
      <c r="ID182" s="230"/>
      <c r="IE182" s="230"/>
      <c r="IF182" s="230"/>
      <c r="IG182" s="230"/>
      <c r="IH182" s="230"/>
      <c r="II182" s="230"/>
      <c r="IJ182" s="230"/>
      <c r="IK182" s="230"/>
      <c r="IL182" s="230"/>
      <c r="IM182" s="230"/>
      <c r="IN182" s="230"/>
      <c r="IO182" s="230"/>
      <c r="IP182" s="230"/>
      <c r="IQ182" s="230"/>
      <c r="IR182" s="230"/>
      <c r="IS182" s="230"/>
      <c r="IT182" s="230"/>
    </row>
    <row r="183" spans="1:255">
      <c r="A183" s="181" t="s">
        <v>1610</v>
      </c>
      <c r="B183" s="193">
        <f>B180+B181+B182-B184</f>
        <v>619034.49000000011</v>
      </c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179"/>
      <c r="AT183" s="179"/>
      <c r="AU183" s="179"/>
      <c r="AV183" s="179"/>
      <c r="AW183" s="179"/>
      <c r="AX183" s="179"/>
      <c r="AY183" s="179"/>
      <c r="AZ183" s="179"/>
      <c r="BA183" s="179"/>
      <c r="BB183" s="179"/>
      <c r="BC183" s="179"/>
      <c r="BD183" s="179"/>
      <c r="BE183" s="179"/>
      <c r="BF183" s="179"/>
      <c r="BG183" s="179"/>
      <c r="BH183" s="179"/>
      <c r="BI183" s="179"/>
      <c r="BJ183" s="179"/>
      <c r="BK183" s="179"/>
      <c r="BL183" s="179"/>
      <c r="BM183" s="179"/>
      <c r="BN183" s="179"/>
      <c r="BO183" s="179"/>
      <c r="BP183" s="179"/>
      <c r="BQ183" s="179"/>
      <c r="BR183" s="179"/>
      <c r="BS183" s="179"/>
      <c r="BT183" s="179"/>
      <c r="BU183" s="179"/>
      <c r="BV183" s="179"/>
      <c r="BW183" s="179"/>
      <c r="BX183" s="179"/>
      <c r="BY183" s="179"/>
      <c r="BZ183" s="179"/>
      <c r="CA183" s="179"/>
      <c r="CB183" s="179"/>
      <c r="CC183" s="179"/>
      <c r="CD183" s="179"/>
      <c r="CE183" s="179"/>
      <c r="CF183" s="179"/>
      <c r="CG183" s="179"/>
      <c r="CH183" s="179"/>
      <c r="CI183" s="179"/>
      <c r="CJ183" s="179"/>
      <c r="CK183" s="179"/>
      <c r="CL183" s="179"/>
      <c r="CM183" s="179"/>
      <c r="CN183" s="179"/>
      <c r="CO183" s="179"/>
      <c r="CP183" s="179"/>
      <c r="CQ183" s="179"/>
      <c r="CR183" s="179"/>
      <c r="CS183" s="179"/>
      <c r="CT183" s="179"/>
      <c r="CU183" s="179"/>
      <c r="CV183" s="179"/>
      <c r="CW183" s="179"/>
      <c r="CX183" s="179"/>
      <c r="CY183" s="179"/>
      <c r="CZ183" s="179"/>
      <c r="DA183" s="179"/>
      <c r="DB183" s="179"/>
      <c r="DC183" s="179"/>
      <c r="DD183" s="179"/>
      <c r="DE183" s="179"/>
      <c r="DF183" s="179"/>
      <c r="DG183" s="179"/>
      <c r="DH183" s="179"/>
      <c r="DI183" s="179"/>
      <c r="DJ183" s="179"/>
      <c r="DK183" s="179"/>
      <c r="DL183" s="179"/>
      <c r="DM183" s="179"/>
      <c r="DN183" s="179"/>
      <c r="DO183" s="179"/>
      <c r="DP183" s="179"/>
      <c r="DQ183" s="179"/>
      <c r="DR183" s="179"/>
      <c r="DS183" s="179"/>
      <c r="DT183" s="179"/>
      <c r="DU183" s="179"/>
      <c r="DV183" s="179"/>
      <c r="DW183" s="179"/>
      <c r="DX183" s="179"/>
      <c r="DY183" s="179"/>
      <c r="DZ183" s="179"/>
      <c r="EA183" s="179"/>
      <c r="EB183" s="179"/>
      <c r="EC183" s="179"/>
      <c r="ED183" s="179"/>
      <c r="EE183" s="179"/>
      <c r="EF183" s="179"/>
      <c r="EG183" s="179"/>
      <c r="EH183" s="179"/>
      <c r="EI183" s="179"/>
      <c r="EJ183" s="179"/>
      <c r="EK183" s="179"/>
      <c r="EL183" s="179"/>
      <c r="EM183" s="179"/>
      <c r="EN183" s="179"/>
      <c r="EO183" s="179"/>
      <c r="EP183" s="179"/>
      <c r="EQ183" s="179"/>
      <c r="ER183" s="179"/>
      <c r="ES183" s="179"/>
      <c r="ET183" s="179"/>
      <c r="EU183" s="179"/>
      <c r="EV183" s="179"/>
      <c r="EW183" s="179"/>
      <c r="EX183" s="179"/>
      <c r="EY183" s="179"/>
      <c r="EZ183" s="179"/>
      <c r="FA183" s="179"/>
      <c r="FB183" s="179"/>
      <c r="FC183" s="179"/>
      <c r="FD183" s="179"/>
      <c r="FE183" s="179"/>
      <c r="FF183" s="179"/>
      <c r="FG183" s="179"/>
      <c r="FH183" s="179"/>
      <c r="FI183" s="179"/>
      <c r="FJ183" s="179"/>
      <c r="FK183" s="179"/>
      <c r="FL183" s="179"/>
      <c r="FM183" s="179"/>
      <c r="FN183" s="179"/>
      <c r="FO183" s="179"/>
      <c r="FP183" s="179"/>
      <c r="FQ183" s="179"/>
      <c r="FR183" s="179"/>
      <c r="FS183" s="179"/>
      <c r="FT183" s="179"/>
      <c r="FU183" s="179"/>
      <c r="FV183" s="179"/>
      <c r="FW183" s="179"/>
      <c r="FX183" s="179"/>
      <c r="FY183" s="179"/>
      <c r="FZ183" s="179"/>
      <c r="GA183" s="179"/>
      <c r="GB183" s="179"/>
      <c r="GC183" s="179"/>
      <c r="GD183" s="179"/>
      <c r="GE183" s="179"/>
      <c r="GF183" s="179"/>
      <c r="GG183" s="179"/>
      <c r="GH183" s="179"/>
      <c r="GI183" s="179"/>
      <c r="GJ183" s="179"/>
      <c r="GK183" s="179"/>
      <c r="GL183" s="179"/>
      <c r="GM183" s="179"/>
      <c r="GN183" s="179"/>
      <c r="GO183" s="179"/>
      <c r="GP183" s="179"/>
      <c r="GQ183" s="179"/>
      <c r="GR183" s="179"/>
      <c r="GS183" s="179"/>
      <c r="GT183" s="179"/>
      <c r="GU183" s="179"/>
      <c r="GV183" s="179"/>
      <c r="GW183" s="179"/>
      <c r="GX183" s="179"/>
      <c r="GY183" s="179"/>
      <c r="GZ183" s="179"/>
      <c r="HA183" s="179"/>
      <c r="HB183" s="179"/>
      <c r="HC183" s="179"/>
      <c r="HD183" s="179"/>
      <c r="HE183" s="179"/>
      <c r="HF183" s="179"/>
      <c r="HG183" s="179"/>
      <c r="HH183" s="179"/>
      <c r="HI183" s="179"/>
      <c r="HJ183" s="179"/>
      <c r="HK183" s="179"/>
      <c r="HL183" s="179"/>
      <c r="HM183" s="179"/>
      <c r="HN183" s="179"/>
      <c r="HO183" s="179"/>
      <c r="HP183" s="179"/>
      <c r="HQ183" s="179"/>
      <c r="HR183" s="179"/>
      <c r="HS183" s="179"/>
      <c r="HT183" s="179"/>
      <c r="HU183" s="179"/>
      <c r="HV183" s="179"/>
      <c r="HW183" s="179"/>
      <c r="HX183" s="179"/>
      <c r="HY183" s="179"/>
      <c r="HZ183" s="179"/>
      <c r="IA183" s="179"/>
      <c r="IB183" s="179"/>
      <c r="IC183" s="179"/>
      <c r="ID183" s="179"/>
      <c r="IE183" s="179"/>
      <c r="IF183" s="179"/>
      <c r="IG183" s="179"/>
      <c r="IH183" s="179"/>
      <c r="II183" s="179"/>
      <c r="IJ183" s="179"/>
      <c r="IK183" s="179"/>
      <c r="IL183" s="179"/>
      <c r="IM183" s="179"/>
      <c r="IN183" s="179"/>
      <c r="IO183" s="179"/>
      <c r="IP183" s="179"/>
      <c r="IQ183" s="179"/>
      <c r="IR183" s="179"/>
      <c r="IS183" s="179"/>
      <c r="IT183" s="179"/>
    </row>
    <row r="184" spans="1:255" s="73" customFormat="1">
      <c r="A184" s="193" t="s">
        <v>1609</v>
      </c>
      <c r="B184" s="193">
        <v>113810.33</v>
      </c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230"/>
      <c r="AW184" s="230"/>
      <c r="AX184" s="230"/>
      <c r="AY184" s="230"/>
      <c r="AZ184" s="230"/>
      <c r="BA184" s="230"/>
      <c r="BB184" s="230"/>
      <c r="BC184" s="230"/>
      <c r="BD184" s="230"/>
      <c r="BE184" s="230"/>
      <c r="BF184" s="230"/>
      <c r="BG184" s="230"/>
      <c r="BH184" s="230"/>
      <c r="BI184" s="230"/>
      <c r="BJ184" s="230"/>
      <c r="BK184" s="230"/>
      <c r="BL184" s="230"/>
      <c r="BM184" s="230"/>
      <c r="BN184" s="230"/>
      <c r="BO184" s="230"/>
      <c r="BP184" s="230"/>
      <c r="BQ184" s="230"/>
      <c r="BR184" s="230"/>
      <c r="BS184" s="230"/>
      <c r="BT184" s="230"/>
      <c r="BU184" s="230"/>
      <c r="BV184" s="230"/>
      <c r="BW184" s="230"/>
      <c r="BX184" s="230"/>
      <c r="BY184" s="230"/>
      <c r="BZ184" s="230"/>
      <c r="CA184" s="230"/>
      <c r="CB184" s="230"/>
      <c r="CC184" s="230"/>
      <c r="CD184" s="230"/>
      <c r="CE184" s="230"/>
      <c r="CF184" s="230"/>
      <c r="CG184" s="230"/>
      <c r="CH184" s="230"/>
      <c r="CI184" s="230"/>
      <c r="CJ184" s="230"/>
      <c r="CK184" s="230"/>
      <c r="CL184" s="230"/>
      <c r="CM184" s="230"/>
      <c r="CN184" s="230"/>
      <c r="CO184" s="230"/>
      <c r="CP184" s="230"/>
      <c r="CQ184" s="230"/>
      <c r="CR184" s="230"/>
      <c r="CS184" s="230"/>
      <c r="CT184" s="230"/>
      <c r="CU184" s="230"/>
      <c r="CV184" s="230"/>
      <c r="CW184" s="230"/>
      <c r="CX184" s="230"/>
      <c r="CY184" s="230"/>
      <c r="CZ184" s="230"/>
      <c r="DA184" s="230"/>
      <c r="DB184" s="230"/>
      <c r="DC184" s="230"/>
      <c r="DD184" s="230"/>
      <c r="DE184" s="230"/>
      <c r="DF184" s="230"/>
      <c r="DG184" s="230"/>
      <c r="DH184" s="230"/>
      <c r="DI184" s="230"/>
      <c r="DJ184" s="230"/>
      <c r="DK184" s="230"/>
      <c r="DL184" s="230"/>
      <c r="DM184" s="230"/>
      <c r="DN184" s="230"/>
      <c r="DO184" s="230"/>
      <c r="DP184" s="230"/>
      <c r="DQ184" s="230"/>
      <c r="DR184" s="230"/>
      <c r="DS184" s="230"/>
      <c r="DT184" s="230"/>
      <c r="DU184" s="230"/>
      <c r="DV184" s="230"/>
      <c r="DW184" s="230"/>
      <c r="DX184" s="230"/>
      <c r="DY184" s="230"/>
      <c r="DZ184" s="230"/>
      <c r="EA184" s="230"/>
      <c r="EB184" s="230"/>
      <c r="EC184" s="230"/>
      <c r="ED184" s="230"/>
      <c r="EE184" s="230"/>
      <c r="EF184" s="230"/>
      <c r="EG184" s="230"/>
      <c r="EH184" s="230"/>
      <c r="EI184" s="230"/>
      <c r="EJ184" s="230"/>
      <c r="EK184" s="230"/>
      <c r="EL184" s="230"/>
      <c r="EM184" s="230"/>
      <c r="EN184" s="230"/>
      <c r="EO184" s="230"/>
      <c r="EP184" s="230"/>
      <c r="EQ184" s="230"/>
      <c r="ER184" s="230"/>
      <c r="ES184" s="230"/>
      <c r="ET184" s="230"/>
      <c r="EU184" s="230"/>
      <c r="EV184" s="230"/>
      <c r="EW184" s="230"/>
      <c r="EX184" s="230"/>
      <c r="EY184" s="230"/>
      <c r="EZ184" s="230"/>
      <c r="FA184" s="230"/>
      <c r="FB184" s="230"/>
      <c r="FC184" s="230"/>
      <c r="FD184" s="230"/>
      <c r="FE184" s="230"/>
      <c r="FF184" s="230"/>
      <c r="FG184" s="230"/>
      <c r="FH184" s="230"/>
      <c r="FI184" s="230"/>
      <c r="FJ184" s="230"/>
      <c r="FK184" s="230"/>
      <c r="FL184" s="230"/>
      <c r="FM184" s="230"/>
      <c r="FN184" s="230"/>
      <c r="FO184" s="230"/>
      <c r="FP184" s="230"/>
      <c r="FQ184" s="230"/>
      <c r="FR184" s="230"/>
      <c r="FS184" s="230"/>
      <c r="FT184" s="230"/>
      <c r="FU184" s="230"/>
      <c r="FV184" s="230"/>
      <c r="FW184" s="230"/>
      <c r="FX184" s="230"/>
      <c r="FY184" s="230"/>
      <c r="FZ184" s="230"/>
      <c r="GA184" s="230"/>
      <c r="GB184" s="230"/>
      <c r="GC184" s="230"/>
      <c r="GD184" s="230"/>
      <c r="GE184" s="230"/>
      <c r="GF184" s="230"/>
      <c r="GG184" s="230"/>
      <c r="GH184" s="230"/>
      <c r="GI184" s="230"/>
      <c r="GJ184" s="230"/>
      <c r="GK184" s="230"/>
      <c r="GL184" s="230"/>
      <c r="GM184" s="230"/>
      <c r="GN184" s="230"/>
      <c r="GO184" s="230"/>
      <c r="GP184" s="230"/>
      <c r="GQ184" s="230"/>
      <c r="GR184" s="230"/>
      <c r="GS184" s="230"/>
      <c r="GT184" s="230"/>
      <c r="GU184" s="230"/>
      <c r="GV184" s="230"/>
      <c r="GW184" s="230"/>
      <c r="GX184" s="230"/>
      <c r="GY184" s="230"/>
      <c r="GZ184" s="230"/>
      <c r="HA184" s="230"/>
      <c r="HB184" s="230"/>
      <c r="HC184" s="230"/>
      <c r="HD184" s="230"/>
      <c r="HE184" s="230"/>
      <c r="HF184" s="230"/>
      <c r="HG184" s="230"/>
      <c r="HH184" s="230"/>
      <c r="HI184" s="230"/>
      <c r="HJ184" s="230"/>
      <c r="HK184" s="230"/>
      <c r="HL184" s="230"/>
      <c r="HM184" s="230"/>
      <c r="HN184" s="230"/>
      <c r="HO184" s="230"/>
      <c r="HP184" s="230"/>
      <c r="HQ184" s="230"/>
      <c r="HR184" s="230"/>
      <c r="HS184" s="230"/>
      <c r="HT184" s="230"/>
      <c r="HU184" s="230"/>
      <c r="HV184" s="230"/>
      <c r="HW184" s="230"/>
      <c r="HX184" s="230"/>
      <c r="HY184" s="230"/>
      <c r="HZ184" s="230"/>
      <c r="IA184" s="230"/>
      <c r="IB184" s="230"/>
      <c r="IC184" s="230"/>
      <c r="ID184" s="230"/>
      <c r="IE184" s="230"/>
      <c r="IF184" s="230"/>
      <c r="IG184" s="230"/>
      <c r="IH184" s="230"/>
      <c r="II184" s="230"/>
      <c r="IJ184" s="230"/>
      <c r="IK184" s="230"/>
      <c r="IL184" s="230"/>
      <c r="IM184" s="230"/>
      <c r="IN184" s="230"/>
      <c r="IO184" s="230"/>
      <c r="IP184" s="230"/>
      <c r="IQ184" s="230"/>
      <c r="IR184" s="230"/>
      <c r="IS184" s="230"/>
      <c r="IT184" s="230"/>
    </row>
    <row r="185" spans="1:255" s="73" customFormat="1" ht="15" customHeight="1">
      <c r="A185" s="234" t="s">
        <v>1604</v>
      </c>
      <c r="B185" s="196">
        <f>B183</f>
        <v>619034.49000000011</v>
      </c>
      <c r="C185" s="230"/>
      <c r="D185" s="429">
        <f>B185-B187-B199</f>
        <v>-295624.31989792007</v>
      </c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0"/>
      <c r="AP185" s="230"/>
      <c r="AQ185" s="230"/>
      <c r="AR185" s="230"/>
      <c r="AS185" s="230"/>
      <c r="AT185" s="230"/>
      <c r="AU185" s="230"/>
      <c r="AV185" s="230"/>
      <c r="AW185" s="230"/>
      <c r="AX185" s="230"/>
      <c r="AY185" s="230"/>
      <c r="AZ185" s="230"/>
      <c r="BA185" s="230"/>
      <c r="BB185" s="230"/>
      <c r="BC185" s="230"/>
      <c r="BD185" s="230"/>
      <c r="BE185" s="230"/>
      <c r="BF185" s="230"/>
      <c r="BG185" s="230"/>
      <c r="BH185" s="230"/>
      <c r="BI185" s="230"/>
      <c r="BJ185" s="230"/>
      <c r="BK185" s="230"/>
      <c r="BL185" s="230"/>
      <c r="BM185" s="230"/>
      <c r="BN185" s="230"/>
      <c r="BO185" s="230"/>
      <c r="BP185" s="230"/>
      <c r="BQ185" s="230"/>
      <c r="BR185" s="230"/>
      <c r="BS185" s="230"/>
      <c r="BT185" s="230"/>
      <c r="BU185" s="230"/>
      <c r="BV185" s="230"/>
      <c r="BW185" s="230"/>
      <c r="BX185" s="230"/>
      <c r="BY185" s="230"/>
      <c r="BZ185" s="230"/>
      <c r="CA185" s="230"/>
      <c r="CB185" s="230"/>
      <c r="CC185" s="230"/>
      <c r="CD185" s="230"/>
      <c r="CE185" s="230"/>
      <c r="CF185" s="230"/>
      <c r="CG185" s="230"/>
      <c r="CH185" s="230"/>
      <c r="CI185" s="230"/>
      <c r="CJ185" s="230"/>
      <c r="CK185" s="230"/>
      <c r="CL185" s="230"/>
      <c r="CM185" s="230"/>
      <c r="CN185" s="230"/>
      <c r="CO185" s="230"/>
      <c r="CP185" s="230"/>
      <c r="CQ185" s="230"/>
      <c r="CR185" s="230"/>
      <c r="CS185" s="230"/>
      <c r="CT185" s="230"/>
      <c r="CU185" s="230"/>
      <c r="CV185" s="230"/>
      <c r="CW185" s="230"/>
      <c r="CX185" s="230"/>
      <c r="CY185" s="230"/>
      <c r="CZ185" s="230"/>
      <c r="DA185" s="230"/>
      <c r="DB185" s="230"/>
      <c r="DC185" s="230"/>
      <c r="DD185" s="230"/>
      <c r="DE185" s="230"/>
      <c r="DF185" s="230"/>
      <c r="DG185" s="230"/>
      <c r="DH185" s="230"/>
      <c r="DI185" s="230"/>
      <c r="DJ185" s="230"/>
      <c r="DK185" s="230"/>
      <c r="DL185" s="230"/>
      <c r="DM185" s="230"/>
      <c r="DN185" s="230"/>
      <c r="DO185" s="230"/>
      <c r="DP185" s="230"/>
      <c r="DQ185" s="230"/>
      <c r="DR185" s="230"/>
      <c r="DS185" s="230"/>
      <c r="DT185" s="230"/>
      <c r="DU185" s="230"/>
      <c r="DV185" s="230"/>
      <c r="DW185" s="230"/>
      <c r="DX185" s="230"/>
      <c r="DY185" s="230"/>
      <c r="DZ185" s="230"/>
      <c r="EA185" s="230"/>
      <c r="EB185" s="230"/>
      <c r="EC185" s="230"/>
      <c r="ED185" s="230"/>
      <c r="EE185" s="230"/>
      <c r="EF185" s="230"/>
      <c r="EG185" s="230"/>
      <c r="EH185" s="230"/>
      <c r="EI185" s="230"/>
      <c r="EJ185" s="230"/>
      <c r="EK185" s="230"/>
      <c r="EL185" s="230"/>
      <c r="EM185" s="230"/>
      <c r="EN185" s="230"/>
      <c r="EO185" s="230"/>
      <c r="EP185" s="230"/>
      <c r="EQ185" s="230"/>
      <c r="ER185" s="230"/>
      <c r="ES185" s="230"/>
      <c r="ET185" s="230"/>
      <c r="EU185" s="230"/>
      <c r="EV185" s="230"/>
      <c r="EW185" s="230"/>
      <c r="EX185" s="230"/>
      <c r="EY185" s="230"/>
      <c r="EZ185" s="230"/>
      <c r="FA185" s="230"/>
      <c r="FB185" s="230"/>
      <c r="FC185" s="230"/>
      <c r="FD185" s="230"/>
      <c r="FE185" s="230"/>
      <c r="FF185" s="230"/>
      <c r="FG185" s="230"/>
      <c r="FH185" s="230"/>
      <c r="FI185" s="230"/>
      <c r="FJ185" s="230"/>
      <c r="FK185" s="230"/>
      <c r="FL185" s="230"/>
      <c r="FM185" s="230"/>
      <c r="FN185" s="230"/>
      <c r="FO185" s="230"/>
      <c r="FP185" s="230"/>
      <c r="FQ185" s="230"/>
      <c r="FR185" s="230"/>
      <c r="FS185" s="230"/>
      <c r="FT185" s="230"/>
      <c r="FU185" s="230"/>
      <c r="FV185" s="230"/>
      <c r="FW185" s="230"/>
      <c r="FX185" s="230"/>
      <c r="FY185" s="230"/>
      <c r="FZ185" s="230"/>
      <c r="GA185" s="230"/>
      <c r="GB185" s="230"/>
      <c r="GC185" s="230"/>
      <c r="GD185" s="230"/>
      <c r="GE185" s="230"/>
      <c r="GF185" s="230"/>
      <c r="GG185" s="230"/>
      <c r="GH185" s="230"/>
      <c r="GI185" s="230"/>
      <c r="GJ185" s="230"/>
      <c r="GK185" s="230"/>
      <c r="GL185" s="230"/>
      <c r="GM185" s="230"/>
      <c r="GN185" s="230"/>
      <c r="GO185" s="230"/>
      <c r="GP185" s="230"/>
      <c r="GQ185" s="230"/>
      <c r="GR185" s="230"/>
      <c r="GS185" s="230"/>
      <c r="GT185" s="230"/>
      <c r="GU185" s="230"/>
      <c r="GV185" s="230"/>
      <c r="GW185" s="230"/>
      <c r="GX185" s="230"/>
      <c r="GY185" s="230"/>
      <c r="GZ185" s="230"/>
      <c r="HA185" s="230"/>
      <c r="HB185" s="230"/>
      <c r="HC185" s="230"/>
      <c r="HD185" s="230"/>
      <c r="HE185" s="230"/>
      <c r="HF185" s="230"/>
      <c r="HG185" s="230"/>
      <c r="HH185" s="230"/>
      <c r="HI185" s="230"/>
      <c r="HJ185" s="230"/>
      <c r="HK185" s="230"/>
      <c r="HL185" s="230"/>
      <c r="HM185" s="230"/>
      <c r="HN185" s="230"/>
      <c r="HO185" s="230"/>
      <c r="HP185" s="230"/>
      <c r="HQ185" s="230"/>
      <c r="HR185" s="230"/>
      <c r="HS185" s="230"/>
      <c r="HT185" s="230"/>
      <c r="HU185" s="230"/>
      <c r="HV185" s="230"/>
      <c r="HW185" s="230"/>
      <c r="HX185" s="230"/>
      <c r="HY185" s="230"/>
      <c r="HZ185" s="230"/>
      <c r="IA185" s="230"/>
      <c r="IB185" s="230"/>
      <c r="IC185" s="230"/>
      <c r="ID185" s="230"/>
      <c r="IE185" s="230"/>
      <c r="IF185" s="230"/>
      <c r="IG185" s="230"/>
      <c r="IH185" s="230"/>
      <c r="II185" s="230"/>
      <c r="IJ185" s="230"/>
      <c r="IK185" s="230"/>
      <c r="IL185" s="230"/>
      <c r="IM185" s="230"/>
      <c r="IN185" s="230"/>
      <c r="IO185" s="230"/>
      <c r="IP185" s="230"/>
      <c r="IQ185" s="230"/>
      <c r="IR185" s="230"/>
      <c r="IS185" s="230"/>
      <c r="IT185" s="230"/>
    </row>
    <row r="186" spans="1:255">
      <c r="A186" s="179"/>
      <c r="B186" s="197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179"/>
      <c r="BD186" s="179"/>
      <c r="BE186" s="179"/>
      <c r="BF186" s="179"/>
      <c r="BG186" s="179"/>
      <c r="BH186" s="179"/>
      <c r="BI186" s="179"/>
      <c r="BJ186" s="179"/>
      <c r="BK186" s="179"/>
      <c r="BL186" s="179"/>
      <c r="BM186" s="179"/>
      <c r="BN186" s="179"/>
      <c r="BO186" s="179"/>
      <c r="BP186" s="179"/>
      <c r="BQ186" s="179"/>
      <c r="BR186" s="179"/>
      <c r="BS186" s="179"/>
      <c r="BT186" s="179"/>
      <c r="BU186" s="179"/>
      <c r="BV186" s="179"/>
      <c r="BW186" s="179"/>
      <c r="BX186" s="179"/>
      <c r="BY186" s="179"/>
      <c r="BZ186" s="179"/>
      <c r="CA186" s="179"/>
      <c r="CB186" s="179"/>
      <c r="CC186" s="179"/>
      <c r="CD186" s="179"/>
      <c r="CE186" s="179"/>
      <c r="CF186" s="179"/>
      <c r="CG186" s="179"/>
      <c r="CH186" s="179"/>
      <c r="CI186" s="179"/>
      <c r="CJ186" s="179"/>
      <c r="CK186" s="179"/>
      <c r="CL186" s="179"/>
      <c r="CM186" s="179"/>
      <c r="CN186" s="179"/>
      <c r="CO186" s="179"/>
      <c r="CP186" s="179"/>
      <c r="CQ186" s="179"/>
      <c r="CR186" s="179"/>
      <c r="CS186" s="179"/>
      <c r="CT186" s="179"/>
      <c r="CU186" s="179"/>
      <c r="CV186" s="179"/>
      <c r="CW186" s="179"/>
      <c r="CX186" s="179"/>
      <c r="CY186" s="179"/>
      <c r="CZ186" s="179"/>
      <c r="DA186" s="179"/>
      <c r="DB186" s="179"/>
      <c r="DC186" s="179"/>
      <c r="DD186" s="179"/>
      <c r="DE186" s="179"/>
      <c r="DF186" s="179"/>
      <c r="DG186" s="179"/>
      <c r="DH186" s="179"/>
      <c r="DI186" s="179"/>
      <c r="DJ186" s="179"/>
      <c r="DK186" s="179"/>
      <c r="DL186" s="179"/>
      <c r="DM186" s="179"/>
      <c r="DN186" s="179"/>
      <c r="DO186" s="179"/>
      <c r="DP186" s="179"/>
      <c r="DQ186" s="179"/>
      <c r="DR186" s="179"/>
      <c r="DS186" s="179"/>
      <c r="DT186" s="179"/>
      <c r="DU186" s="179"/>
      <c r="DV186" s="179"/>
      <c r="DW186" s="179"/>
      <c r="DX186" s="179"/>
      <c r="DY186" s="179"/>
      <c r="DZ186" s="179"/>
      <c r="EA186" s="179"/>
      <c r="EB186" s="179"/>
      <c r="EC186" s="179"/>
      <c r="ED186" s="179"/>
      <c r="EE186" s="179"/>
      <c r="EF186" s="179"/>
      <c r="EG186" s="179"/>
      <c r="EH186" s="179"/>
      <c r="EI186" s="179"/>
      <c r="EJ186" s="179"/>
      <c r="EK186" s="179"/>
      <c r="EL186" s="179"/>
      <c r="EM186" s="179"/>
      <c r="EN186" s="179"/>
      <c r="EO186" s="179"/>
      <c r="EP186" s="179"/>
      <c r="EQ186" s="179"/>
      <c r="ER186" s="179"/>
      <c r="ES186" s="179"/>
      <c r="ET186" s="179"/>
      <c r="EU186" s="179"/>
      <c r="EV186" s="179"/>
      <c r="EW186" s="179"/>
      <c r="EX186" s="179"/>
      <c r="EY186" s="179"/>
      <c r="EZ186" s="179"/>
      <c r="FA186" s="179"/>
      <c r="FB186" s="179"/>
      <c r="FC186" s="179"/>
      <c r="FD186" s="179"/>
      <c r="FE186" s="179"/>
      <c r="FF186" s="179"/>
      <c r="FG186" s="179"/>
      <c r="FH186" s="179"/>
      <c r="FI186" s="179"/>
      <c r="FJ186" s="179"/>
      <c r="FK186" s="179"/>
      <c r="FL186" s="179"/>
      <c r="FM186" s="179"/>
      <c r="FN186" s="179"/>
      <c r="FO186" s="179"/>
      <c r="FP186" s="179"/>
      <c r="FQ186" s="179"/>
      <c r="FR186" s="179"/>
      <c r="FS186" s="179"/>
      <c r="FT186" s="179"/>
      <c r="FU186" s="179"/>
      <c r="FV186" s="179"/>
      <c r="FW186" s="179"/>
      <c r="FX186" s="179"/>
      <c r="FY186" s="179"/>
      <c r="FZ186" s="179"/>
      <c r="GA186" s="179"/>
      <c r="GB186" s="179"/>
      <c r="GC186" s="179"/>
      <c r="GD186" s="179"/>
      <c r="GE186" s="179"/>
      <c r="GF186" s="179"/>
      <c r="GG186" s="179"/>
      <c r="GH186" s="179"/>
      <c r="GI186" s="179"/>
      <c r="GJ186" s="179"/>
      <c r="GK186" s="179"/>
      <c r="GL186" s="179"/>
      <c r="GM186" s="179"/>
      <c r="GN186" s="179"/>
      <c r="GO186" s="179"/>
      <c r="GP186" s="179"/>
      <c r="GQ186" s="179"/>
      <c r="GR186" s="179"/>
      <c r="GS186" s="179"/>
      <c r="GT186" s="179"/>
      <c r="GU186" s="179"/>
      <c r="GV186" s="179"/>
      <c r="GW186" s="179"/>
      <c r="GX186" s="179"/>
      <c r="GY186" s="179"/>
      <c r="GZ186" s="179"/>
      <c r="HA186" s="179"/>
      <c r="HB186" s="179"/>
      <c r="HC186" s="179"/>
      <c r="HD186" s="179"/>
      <c r="HE186" s="179"/>
      <c r="HF186" s="179"/>
      <c r="HG186" s="179"/>
      <c r="HH186" s="179"/>
      <c r="HI186" s="179"/>
      <c r="HJ186" s="179"/>
      <c r="HK186" s="179"/>
      <c r="HL186" s="179"/>
      <c r="HM186" s="179"/>
      <c r="HN186" s="179"/>
      <c r="HO186" s="179"/>
      <c r="HP186" s="179"/>
      <c r="HQ186" s="179"/>
      <c r="HR186" s="179"/>
      <c r="HS186" s="179"/>
      <c r="HT186" s="179"/>
      <c r="HU186" s="179"/>
      <c r="HV186" s="179"/>
      <c r="HW186" s="179"/>
      <c r="HX186" s="179"/>
      <c r="HY186" s="179"/>
      <c r="HZ186" s="179"/>
      <c r="IA186" s="179"/>
      <c r="IB186" s="179"/>
      <c r="IC186" s="179"/>
      <c r="ID186" s="179"/>
      <c r="IE186" s="179"/>
      <c r="IF186" s="179"/>
      <c r="IG186" s="179"/>
      <c r="IH186" s="179"/>
      <c r="II186" s="179"/>
      <c r="IJ186" s="179"/>
      <c r="IK186" s="179"/>
      <c r="IL186" s="179"/>
      <c r="IM186" s="179"/>
      <c r="IN186" s="179"/>
      <c r="IO186" s="179"/>
      <c r="IP186" s="179"/>
      <c r="IQ186" s="179"/>
      <c r="IR186" s="179"/>
      <c r="IS186" s="179"/>
      <c r="IT186" s="179"/>
    </row>
    <row r="187" spans="1:255">
      <c r="A187" s="180" t="s">
        <v>1606</v>
      </c>
      <c r="B187" s="198">
        <f>B189+B191+B192+B193+B195+B196+B197+B198</f>
        <v>568354.2698979202</v>
      </c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179"/>
      <c r="BD187" s="179"/>
      <c r="BE187" s="179"/>
      <c r="BF187" s="179"/>
      <c r="BG187" s="179"/>
      <c r="BH187" s="179"/>
      <c r="BI187" s="179"/>
      <c r="BJ187" s="179"/>
      <c r="BK187" s="179"/>
      <c r="BL187" s="179"/>
      <c r="BM187" s="179"/>
      <c r="BN187" s="179"/>
      <c r="BO187" s="179"/>
      <c r="BP187" s="179"/>
      <c r="BQ187" s="179"/>
      <c r="BR187" s="179"/>
      <c r="BS187" s="179"/>
      <c r="BT187" s="179"/>
      <c r="BU187" s="179"/>
      <c r="BV187" s="179"/>
      <c r="BW187" s="179"/>
      <c r="BX187" s="179"/>
      <c r="BY187" s="179"/>
      <c r="BZ187" s="179"/>
      <c r="CA187" s="179"/>
      <c r="CB187" s="179"/>
      <c r="CC187" s="179"/>
      <c r="CD187" s="179"/>
      <c r="CE187" s="179"/>
      <c r="CF187" s="179"/>
      <c r="CG187" s="179"/>
      <c r="CH187" s="179"/>
      <c r="CI187" s="179"/>
      <c r="CJ187" s="179"/>
      <c r="CK187" s="179"/>
      <c r="CL187" s="179"/>
      <c r="CM187" s="179"/>
      <c r="CN187" s="179"/>
      <c r="CO187" s="179"/>
      <c r="CP187" s="179"/>
      <c r="CQ187" s="179"/>
      <c r="CR187" s="179"/>
      <c r="CS187" s="179"/>
      <c r="CT187" s="179"/>
      <c r="CU187" s="179"/>
      <c r="CV187" s="179"/>
      <c r="CW187" s="179"/>
      <c r="CX187" s="179"/>
      <c r="CY187" s="179"/>
      <c r="CZ187" s="179"/>
      <c r="DA187" s="179"/>
      <c r="DB187" s="179"/>
      <c r="DC187" s="179"/>
      <c r="DD187" s="179"/>
      <c r="DE187" s="179"/>
      <c r="DF187" s="179"/>
      <c r="DG187" s="179"/>
      <c r="DH187" s="179"/>
      <c r="DI187" s="179"/>
      <c r="DJ187" s="179"/>
      <c r="DK187" s="179"/>
      <c r="DL187" s="179"/>
      <c r="DM187" s="179"/>
      <c r="DN187" s="179"/>
      <c r="DO187" s="179"/>
      <c r="DP187" s="179"/>
      <c r="DQ187" s="179"/>
      <c r="DR187" s="179"/>
      <c r="DS187" s="179"/>
      <c r="DT187" s="179"/>
      <c r="DU187" s="179"/>
      <c r="DV187" s="179"/>
      <c r="DW187" s="179"/>
      <c r="DX187" s="179"/>
      <c r="DY187" s="179"/>
      <c r="DZ187" s="179"/>
      <c r="EA187" s="179"/>
      <c r="EB187" s="179"/>
      <c r="EC187" s="179"/>
      <c r="ED187" s="179"/>
      <c r="EE187" s="179"/>
      <c r="EF187" s="179"/>
      <c r="EG187" s="179"/>
      <c r="EH187" s="179"/>
      <c r="EI187" s="179"/>
      <c r="EJ187" s="179"/>
      <c r="EK187" s="179"/>
      <c r="EL187" s="179"/>
      <c r="EM187" s="179"/>
      <c r="EN187" s="179"/>
      <c r="EO187" s="179"/>
      <c r="EP187" s="179"/>
      <c r="EQ187" s="179"/>
      <c r="ER187" s="179"/>
      <c r="ES187" s="179"/>
      <c r="ET187" s="179"/>
      <c r="EU187" s="179"/>
      <c r="EV187" s="179"/>
      <c r="EW187" s="179"/>
      <c r="EX187" s="179"/>
      <c r="EY187" s="179"/>
      <c r="EZ187" s="179"/>
      <c r="FA187" s="179"/>
      <c r="FB187" s="179"/>
      <c r="FC187" s="179"/>
      <c r="FD187" s="179"/>
      <c r="FE187" s="179"/>
      <c r="FF187" s="179"/>
      <c r="FG187" s="179"/>
      <c r="FH187" s="179"/>
      <c r="FI187" s="179"/>
      <c r="FJ187" s="179"/>
      <c r="FK187" s="179"/>
      <c r="FL187" s="179"/>
      <c r="FM187" s="179"/>
      <c r="FN187" s="179"/>
      <c r="FO187" s="179"/>
      <c r="FP187" s="179"/>
      <c r="FQ187" s="179"/>
      <c r="FR187" s="179"/>
      <c r="FS187" s="179"/>
      <c r="FT187" s="179"/>
      <c r="FU187" s="179"/>
      <c r="FV187" s="179"/>
      <c r="FW187" s="179"/>
      <c r="FX187" s="179"/>
      <c r="FY187" s="179"/>
      <c r="FZ187" s="179"/>
      <c r="GA187" s="179"/>
      <c r="GB187" s="179"/>
      <c r="GC187" s="179"/>
      <c r="GD187" s="179"/>
      <c r="GE187" s="179"/>
      <c r="GF187" s="179"/>
      <c r="GG187" s="179"/>
      <c r="GH187" s="179"/>
      <c r="GI187" s="179"/>
      <c r="GJ187" s="179"/>
      <c r="GK187" s="179"/>
      <c r="GL187" s="179"/>
      <c r="GM187" s="179"/>
      <c r="GN187" s="179"/>
      <c r="GO187" s="179"/>
      <c r="GP187" s="179"/>
      <c r="GQ187" s="179"/>
      <c r="GR187" s="179"/>
      <c r="GS187" s="179"/>
      <c r="GT187" s="179"/>
      <c r="GU187" s="179"/>
      <c r="GV187" s="179"/>
      <c r="GW187" s="179"/>
      <c r="GX187" s="179"/>
      <c r="GY187" s="179"/>
      <c r="GZ187" s="179"/>
      <c r="HA187" s="179"/>
      <c r="HB187" s="179"/>
      <c r="HC187" s="179"/>
      <c r="HD187" s="179"/>
      <c r="HE187" s="179"/>
      <c r="HF187" s="179"/>
      <c r="HG187" s="179"/>
      <c r="HH187" s="179"/>
      <c r="HI187" s="179"/>
      <c r="HJ187" s="179"/>
      <c r="HK187" s="179"/>
      <c r="HL187" s="179"/>
      <c r="HM187" s="179"/>
      <c r="HN187" s="179"/>
      <c r="HO187" s="179"/>
      <c r="HP187" s="179"/>
      <c r="HQ187" s="179"/>
      <c r="HR187" s="179"/>
      <c r="HS187" s="179"/>
      <c r="HT187" s="179"/>
      <c r="HU187" s="179"/>
      <c r="HV187" s="179"/>
      <c r="HW187" s="179"/>
      <c r="HX187" s="179"/>
      <c r="HY187" s="179"/>
      <c r="HZ187" s="179"/>
      <c r="IA187" s="179"/>
      <c r="IB187" s="179"/>
      <c r="IC187" s="179"/>
      <c r="ID187" s="179"/>
      <c r="IE187" s="179"/>
      <c r="IF187" s="179"/>
      <c r="IG187" s="179"/>
      <c r="IH187" s="179"/>
      <c r="II187" s="179"/>
      <c r="IJ187" s="179"/>
      <c r="IK187" s="179"/>
      <c r="IL187" s="179"/>
      <c r="IM187" s="179"/>
      <c r="IN187" s="179"/>
      <c r="IO187" s="179"/>
      <c r="IP187" s="179"/>
      <c r="IQ187" s="179"/>
      <c r="IR187" s="179"/>
      <c r="IS187" s="179"/>
      <c r="IT187" s="179"/>
    </row>
    <row r="188" spans="1:255">
      <c r="A188" s="181" t="s">
        <v>599</v>
      </c>
      <c r="B188" s="193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179"/>
      <c r="BD188" s="179"/>
      <c r="BE188" s="179"/>
      <c r="BF188" s="179"/>
      <c r="BG188" s="179"/>
      <c r="BH188" s="179"/>
      <c r="BI188" s="179"/>
      <c r="BJ188" s="179"/>
      <c r="BK188" s="179"/>
      <c r="BL188" s="179"/>
      <c r="BM188" s="179"/>
      <c r="BN188" s="179"/>
      <c r="BO188" s="179"/>
      <c r="BP188" s="179"/>
      <c r="BQ188" s="179"/>
      <c r="BR188" s="179"/>
      <c r="BS188" s="179"/>
      <c r="BT188" s="179"/>
      <c r="BU188" s="179"/>
      <c r="BV188" s="179"/>
      <c r="BW188" s="179"/>
      <c r="BX188" s="179"/>
      <c r="BY188" s="179"/>
      <c r="BZ188" s="179"/>
      <c r="CA188" s="179"/>
      <c r="CB188" s="179"/>
      <c r="CC188" s="179"/>
      <c r="CD188" s="179"/>
      <c r="CE188" s="179"/>
      <c r="CF188" s="179"/>
      <c r="CG188" s="179"/>
      <c r="CH188" s="179"/>
      <c r="CI188" s="179"/>
      <c r="CJ188" s="179"/>
      <c r="CK188" s="179"/>
      <c r="CL188" s="179"/>
      <c r="CM188" s="179"/>
      <c r="CN188" s="179"/>
      <c r="CO188" s="179"/>
      <c r="CP188" s="179"/>
      <c r="CQ188" s="179"/>
      <c r="CR188" s="179"/>
      <c r="CS188" s="179"/>
      <c r="CT188" s="179"/>
      <c r="CU188" s="179"/>
      <c r="CV188" s="179"/>
      <c r="CW188" s="179"/>
      <c r="CX188" s="179"/>
      <c r="CY188" s="179"/>
      <c r="CZ188" s="179"/>
      <c r="DA188" s="179"/>
      <c r="DB188" s="179"/>
      <c r="DC188" s="179"/>
      <c r="DD188" s="179"/>
      <c r="DE188" s="179"/>
      <c r="DF188" s="179"/>
      <c r="DG188" s="179"/>
      <c r="DH188" s="179"/>
      <c r="DI188" s="179"/>
      <c r="DJ188" s="179"/>
      <c r="DK188" s="179"/>
      <c r="DL188" s="179"/>
      <c r="DM188" s="179"/>
      <c r="DN188" s="179"/>
      <c r="DO188" s="179"/>
      <c r="DP188" s="179"/>
      <c r="DQ188" s="179"/>
      <c r="DR188" s="179"/>
      <c r="DS188" s="179"/>
      <c r="DT188" s="179"/>
      <c r="DU188" s="179"/>
      <c r="DV188" s="179"/>
      <c r="DW188" s="179"/>
      <c r="DX188" s="179"/>
      <c r="DY188" s="179"/>
      <c r="DZ188" s="179"/>
      <c r="EA188" s="179"/>
      <c r="EB188" s="179"/>
      <c r="EC188" s="179"/>
      <c r="ED188" s="179"/>
      <c r="EE188" s="179"/>
      <c r="EF188" s="179"/>
      <c r="EG188" s="179"/>
      <c r="EH188" s="179"/>
      <c r="EI188" s="179"/>
      <c r="EJ188" s="179"/>
      <c r="EK188" s="179"/>
      <c r="EL188" s="179"/>
      <c r="EM188" s="179"/>
      <c r="EN188" s="179"/>
      <c r="EO188" s="179"/>
      <c r="EP188" s="179"/>
      <c r="EQ188" s="179"/>
      <c r="ER188" s="179"/>
      <c r="ES188" s="179"/>
      <c r="ET188" s="179"/>
      <c r="EU188" s="179"/>
      <c r="EV188" s="179"/>
      <c r="EW188" s="179"/>
      <c r="EX188" s="179"/>
      <c r="EY188" s="179"/>
      <c r="EZ188" s="179"/>
      <c r="FA188" s="179"/>
      <c r="FB188" s="179"/>
      <c r="FC188" s="179"/>
      <c r="FD188" s="179"/>
      <c r="FE188" s="179"/>
      <c r="FF188" s="179"/>
      <c r="FG188" s="179"/>
      <c r="FH188" s="179"/>
      <c r="FI188" s="179"/>
      <c r="FJ188" s="179"/>
      <c r="FK188" s="179"/>
      <c r="FL188" s="179"/>
      <c r="FM188" s="179"/>
      <c r="FN188" s="179"/>
      <c r="FO188" s="179"/>
      <c r="FP188" s="179"/>
      <c r="FQ188" s="179"/>
      <c r="FR188" s="179"/>
      <c r="FS188" s="179"/>
      <c r="FT188" s="179"/>
      <c r="FU188" s="179"/>
      <c r="FV188" s="179"/>
      <c r="FW188" s="179"/>
      <c r="FX188" s="179"/>
      <c r="FY188" s="179"/>
      <c r="FZ188" s="179"/>
      <c r="GA188" s="179"/>
      <c r="GB188" s="179"/>
      <c r="GC188" s="179"/>
      <c r="GD188" s="179"/>
      <c r="GE188" s="179"/>
      <c r="GF188" s="179"/>
      <c r="GG188" s="179"/>
      <c r="GH188" s="179"/>
      <c r="GI188" s="179"/>
      <c r="GJ188" s="179"/>
      <c r="GK188" s="179"/>
      <c r="GL188" s="179"/>
      <c r="GM188" s="179"/>
      <c r="GN188" s="179"/>
      <c r="GO188" s="179"/>
      <c r="GP188" s="179"/>
      <c r="GQ188" s="179"/>
      <c r="GR188" s="179"/>
      <c r="GS188" s="179"/>
      <c r="GT188" s="179"/>
      <c r="GU188" s="179"/>
      <c r="GV188" s="179"/>
      <c r="GW188" s="179"/>
      <c r="GX188" s="179"/>
      <c r="GY188" s="179"/>
      <c r="GZ188" s="179"/>
      <c r="HA188" s="179"/>
      <c r="HB188" s="179"/>
      <c r="HC188" s="179"/>
      <c r="HD188" s="179"/>
      <c r="HE188" s="179"/>
      <c r="HF188" s="179"/>
      <c r="HG188" s="179"/>
      <c r="HH188" s="179"/>
      <c r="HI188" s="179"/>
      <c r="HJ188" s="179"/>
      <c r="HK188" s="179"/>
      <c r="HL188" s="179"/>
      <c r="HM188" s="179"/>
      <c r="HN188" s="179"/>
      <c r="HO188" s="179"/>
      <c r="HP188" s="179"/>
      <c r="HQ188" s="179"/>
      <c r="HR188" s="179"/>
      <c r="HS188" s="179"/>
      <c r="HT188" s="179"/>
      <c r="HU188" s="179"/>
      <c r="HV188" s="179"/>
      <c r="HW188" s="179"/>
      <c r="HX188" s="179"/>
      <c r="HY188" s="179"/>
      <c r="HZ188" s="179"/>
      <c r="IA188" s="179"/>
      <c r="IB188" s="179"/>
      <c r="IC188" s="179"/>
      <c r="ID188" s="179"/>
      <c r="IE188" s="179"/>
      <c r="IF188" s="179"/>
      <c r="IG188" s="179"/>
      <c r="IH188" s="179"/>
      <c r="II188" s="179"/>
      <c r="IJ188" s="179"/>
      <c r="IK188" s="179"/>
      <c r="IL188" s="179"/>
      <c r="IM188" s="179"/>
      <c r="IN188" s="179"/>
      <c r="IO188" s="179"/>
      <c r="IP188" s="179"/>
      <c r="IQ188" s="179"/>
      <c r="IR188" s="179"/>
      <c r="IS188" s="179"/>
      <c r="IT188" s="179"/>
    </row>
    <row r="189" spans="1:255" s="73" customFormat="1">
      <c r="A189" s="193" t="s">
        <v>521</v>
      </c>
      <c r="B189" s="194">
        <f>959300/45797.5*B178*1.5</f>
        <v>81141.729897920188</v>
      </c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  <c r="AG189" s="230"/>
      <c r="AH189" s="230"/>
      <c r="AI189" s="230"/>
      <c r="AJ189" s="230"/>
      <c r="AK189" s="230"/>
      <c r="AL189" s="230"/>
      <c r="AM189" s="230"/>
      <c r="AN189" s="230"/>
      <c r="AO189" s="230"/>
      <c r="AP189" s="230"/>
      <c r="AQ189" s="230"/>
      <c r="AR189" s="230"/>
      <c r="AS189" s="230"/>
      <c r="AT189" s="230"/>
      <c r="AU189" s="230"/>
      <c r="AV189" s="230"/>
      <c r="AW189" s="230"/>
      <c r="AX189" s="230"/>
      <c r="AY189" s="230"/>
      <c r="AZ189" s="230"/>
      <c r="BA189" s="230"/>
      <c r="BB189" s="230"/>
      <c r="BC189" s="230"/>
      <c r="BD189" s="230"/>
      <c r="BE189" s="230"/>
      <c r="BF189" s="230"/>
      <c r="BG189" s="230"/>
      <c r="BH189" s="230"/>
      <c r="BI189" s="230"/>
      <c r="BJ189" s="230"/>
      <c r="BK189" s="230"/>
      <c r="BL189" s="230"/>
      <c r="BM189" s="230"/>
      <c r="BN189" s="230"/>
      <c r="BO189" s="230"/>
      <c r="BP189" s="230"/>
      <c r="BQ189" s="230"/>
      <c r="BR189" s="230"/>
      <c r="BS189" s="230"/>
      <c r="BT189" s="230"/>
      <c r="BU189" s="230"/>
      <c r="BV189" s="230"/>
      <c r="BW189" s="230"/>
      <c r="BX189" s="230"/>
      <c r="BY189" s="230"/>
      <c r="BZ189" s="230"/>
      <c r="CA189" s="230"/>
      <c r="CB189" s="230"/>
      <c r="CC189" s="230"/>
      <c r="CD189" s="230"/>
      <c r="CE189" s="230"/>
      <c r="CF189" s="230"/>
      <c r="CG189" s="230"/>
      <c r="CH189" s="230"/>
      <c r="CI189" s="230"/>
      <c r="CJ189" s="230"/>
      <c r="CK189" s="230"/>
      <c r="CL189" s="230"/>
      <c r="CM189" s="230"/>
      <c r="CN189" s="230"/>
      <c r="CO189" s="230"/>
      <c r="CP189" s="230"/>
      <c r="CQ189" s="230"/>
      <c r="CR189" s="230"/>
      <c r="CS189" s="230"/>
      <c r="CT189" s="230"/>
      <c r="CU189" s="230"/>
      <c r="CV189" s="230"/>
      <c r="CW189" s="230"/>
      <c r="CX189" s="230"/>
      <c r="CY189" s="230"/>
      <c r="CZ189" s="230"/>
      <c r="DA189" s="230"/>
      <c r="DB189" s="230"/>
      <c r="DC189" s="230"/>
      <c r="DD189" s="230"/>
      <c r="DE189" s="230"/>
      <c r="DF189" s="230"/>
      <c r="DG189" s="230"/>
      <c r="DH189" s="230"/>
      <c r="DI189" s="230"/>
      <c r="DJ189" s="230"/>
      <c r="DK189" s="230"/>
      <c r="DL189" s="230"/>
      <c r="DM189" s="230"/>
      <c r="DN189" s="230"/>
      <c r="DO189" s="230"/>
      <c r="DP189" s="230"/>
      <c r="DQ189" s="230"/>
      <c r="DR189" s="230"/>
      <c r="DS189" s="230"/>
      <c r="DT189" s="230"/>
      <c r="DU189" s="230"/>
      <c r="DV189" s="230"/>
      <c r="DW189" s="230"/>
      <c r="DX189" s="230"/>
      <c r="DY189" s="230"/>
      <c r="DZ189" s="230"/>
      <c r="EA189" s="230"/>
      <c r="EB189" s="230"/>
      <c r="EC189" s="230"/>
      <c r="ED189" s="230"/>
      <c r="EE189" s="230"/>
      <c r="EF189" s="230"/>
      <c r="EG189" s="230"/>
      <c r="EH189" s="230"/>
      <c r="EI189" s="230"/>
      <c r="EJ189" s="230"/>
      <c r="EK189" s="230"/>
      <c r="EL189" s="230"/>
      <c r="EM189" s="230"/>
      <c r="EN189" s="230"/>
      <c r="EO189" s="230"/>
      <c r="EP189" s="230"/>
      <c r="EQ189" s="230"/>
      <c r="ER189" s="230"/>
      <c r="ES189" s="230"/>
      <c r="ET189" s="230"/>
      <c r="EU189" s="230"/>
      <c r="EV189" s="230"/>
      <c r="EW189" s="230"/>
      <c r="EX189" s="230"/>
      <c r="EY189" s="230"/>
      <c r="EZ189" s="230"/>
      <c r="FA189" s="230"/>
      <c r="FB189" s="230"/>
      <c r="FC189" s="230"/>
      <c r="FD189" s="230"/>
      <c r="FE189" s="230"/>
      <c r="FF189" s="230"/>
      <c r="FG189" s="230"/>
      <c r="FH189" s="230"/>
      <c r="FI189" s="230"/>
      <c r="FJ189" s="230"/>
      <c r="FK189" s="230"/>
      <c r="FL189" s="230"/>
      <c r="FM189" s="230"/>
      <c r="FN189" s="230"/>
      <c r="FO189" s="230"/>
      <c r="FP189" s="230"/>
      <c r="FQ189" s="230"/>
      <c r="FR189" s="230"/>
      <c r="FS189" s="230"/>
      <c r="FT189" s="230"/>
      <c r="FU189" s="230"/>
      <c r="FV189" s="230"/>
      <c r="FW189" s="230"/>
      <c r="FX189" s="230"/>
      <c r="FY189" s="230"/>
      <c r="FZ189" s="230"/>
      <c r="GA189" s="230"/>
      <c r="GB189" s="230"/>
      <c r="GC189" s="230"/>
      <c r="GD189" s="230"/>
      <c r="GE189" s="230"/>
      <c r="GF189" s="230"/>
      <c r="GG189" s="230"/>
      <c r="GH189" s="230"/>
      <c r="GI189" s="230"/>
      <c r="GJ189" s="230"/>
      <c r="GK189" s="230"/>
      <c r="GL189" s="230"/>
      <c r="GM189" s="230"/>
      <c r="GN189" s="230"/>
      <c r="GO189" s="230"/>
      <c r="GP189" s="230"/>
      <c r="GQ189" s="230"/>
      <c r="GR189" s="230"/>
      <c r="GS189" s="230"/>
      <c r="GT189" s="230"/>
      <c r="GU189" s="230"/>
      <c r="GV189" s="230"/>
      <c r="GW189" s="230"/>
      <c r="GX189" s="230"/>
      <c r="GY189" s="230"/>
      <c r="GZ189" s="230"/>
      <c r="HA189" s="230"/>
      <c r="HB189" s="230"/>
      <c r="HC189" s="230"/>
      <c r="HD189" s="230"/>
      <c r="HE189" s="230"/>
      <c r="HF189" s="230"/>
      <c r="HG189" s="230"/>
      <c r="HH189" s="230"/>
      <c r="HI189" s="230"/>
      <c r="HJ189" s="230"/>
      <c r="HK189" s="230"/>
      <c r="HL189" s="230"/>
      <c r="HM189" s="230"/>
      <c r="HN189" s="230"/>
      <c r="HO189" s="230"/>
      <c r="HP189" s="230"/>
      <c r="HQ189" s="230"/>
      <c r="HR189" s="230"/>
      <c r="HS189" s="230"/>
      <c r="HT189" s="230"/>
      <c r="HU189" s="230"/>
      <c r="HV189" s="230"/>
      <c r="HW189" s="230"/>
      <c r="HX189" s="230"/>
      <c r="HY189" s="230"/>
      <c r="HZ189" s="230"/>
      <c r="IA189" s="230"/>
      <c r="IB189" s="230"/>
      <c r="IC189" s="230"/>
      <c r="ID189" s="230"/>
      <c r="IE189" s="230"/>
      <c r="IF189" s="230"/>
      <c r="IG189" s="230"/>
      <c r="IH189" s="230"/>
      <c r="II189" s="230"/>
      <c r="IJ189" s="230"/>
      <c r="IK189" s="230"/>
      <c r="IL189" s="230"/>
      <c r="IM189" s="230"/>
      <c r="IN189" s="230"/>
      <c r="IO189" s="230"/>
      <c r="IP189" s="230"/>
      <c r="IQ189" s="230"/>
      <c r="IR189" s="230"/>
      <c r="IS189" s="230"/>
      <c r="IT189" s="230"/>
    </row>
    <row r="190" spans="1:255" s="73" customFormat="1">
      <c r="A190" s="193" t="s">
        <v>987</v>
      </c>
      <c r="B190" s="194">
        <f>0.31*B178*12*1.5</f>
        <v>14410.350000000002</v>
      </c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230"/>
      <c r="AO190" s="230"/>
      <c r="AP190" s="230"/>
      <c r="AQ190" s="230"/>
      <c r="AR190" s="230"/>
      <c r="AS190" s="230"/>
      <c r="AT190" s="230"/>
      <c r="AU190" s="230"/>
      <c r="AV190" s="230"/>
      <c r="AW190" s="230"/>
      <c r="AX190" s="230"/>
      <c r="AY190" s="230"/>
      <c r="AZ190" s="230"/>
      <c r="BA190" s="230"/>
      <c r="BB190" s="230"/>
      <c r="BC190" s="230"/>
      <c r="BD190" s="230"/>
      <c r="BE190" s="230"/>
      <c r="BF190" s="230"/>
      <c r="BG190" s="230"/>
      <c r="BH190" s="230"/>
      <c r="BI190" s="230"/>
      <c r="BJ190" s="230"/>
      <c r="BK190" s="230"/>
      <c r="BL190" s="230"/>
      <c r="BM190" s="230"/>
      <c r="BN190" s="230"/>
      <c r="BO190" s="230"/>
      <c r="BP190" s="230"/>
      <c r="BQ190" s="230"/>
      <c r="BR190" s="230"/>
      <c r="BS190" s="230"/>
      <c r="BT190" s="230"/>
      <c r="BU190" s="230"/>
      <c r="BV190" s="230"/>
      <c r="BW190" s="230"/>
      <c r="BX190" s="230"/>
      <c r="BY190" s="230"/>
      <c r="BZ190" s="230"/>
      <c r="CA190" s="230"/>
      <c r="CB190" s="230"/>
      <c r="CC190" s="230"/>
      <c r="CD190" s="230"/>
      <c r="CE190" s="230"/>
      <c r="CF190" s="230"/>
      <c r="CG190" s="230"/>
      <c r="CH190" s="230"/>
      <c r="CI190" s="230"/>
      <c r="CJ190" s="230"/>
      <c r="CK190" s="230"/>
      <c r="CL190" s="230"/>
      <c r="CM190" s="230"/>
      <c r="CN190" s="230"/>
      <c r="CO190" s="230"/>
      <c r="CP190" s="230"/>
      <c r="CQ190" s="230"/>
      <c r="CR190" s="230"/>
      <c r="CS190" s="230"/>
      <c r="CT190" s="230"/>
      <c r="CU190" s="230"/>
      <c r="CV190" s="230"/>
      <c r="CW190" s="230"/>
      <c r="CX190" s="230"/>
      <c r="CY190" s="230"/>
      <c r="CZ190" s="230"/>
      <c r="DA190" s="230"/>
      <c r="DB190" s="230"/>
      <c r="DC190" s="230"/>
      <c r="DD190" s="230"/>
      <c r="DE190" s="230"/>
      <c r="DF190" s="230"/>
      <c r="DG190" s="230"/>
      <c r="DH190" s="230"/>
      <c r="DI190" s="230"/>
      <c r="DJ190" s="230"/>
      <c r="DK190" s="230"/>
      <c r="DL190" s="230"/>
      <c r="DM190" s="230"/>
      <c r="DN190" s="230"/>
      <c r="DO190" s="230"/>
      <c r="DP190" s="230"/>
      <c r="DQ190" s="230"/>
      <c r="DR190" s="230"/>
      <c r="DS190" s="230"/>
      <c r="DT190" s="230"/>
      <c r="DU190" s="230"/>
      <c r="DV190" s="230"/>
      <c r="DW190" s="230"/>
      <c r="DX190" s="230"/>
      <c r="DY190" s="230"/>
      <c r="DZ190" s="230"/>
      <c r="EA190" s="230"/>
      <c r="EB190" s="230"/>
      <c r="EC190" s="230"/>
      <c r="ED190" s="230"/>
      <c r="EE190" s="230"/>
      <c r="EF190" s="230"/>
      <c r="EG190" s="230"/>
      <c r="EH190" s="230"/>
      <c r="EI190" s="230"/>
      <c r="EJ190" s="230"/>
      <c r="EK190" s="230"/>
      <c r="EL190" s="230"/>
      <c r="EM190" s="230"/>
      <c r="EN190" s="230"/>
      <c r="EO190" s="230"/>
      <c r="EP190" s="230"/>
      <c r="EQ190" s="230"/>
      <c r="ER190" s="230"/>
      <c r="ES190" s="230"/>
      <c r="ET190" s="230"/>
      <c r="EU190" s="230"/>
      <c r="EV190" s="230"/>
      <c r="EW190" s="230"/>
      <c r="EX190" s="230"/>
      <c r="EY190" s="230"/>
      <c r="EZ190" s="230"/>
      <c r="FA190" s="230"/>
      <c r="FB190" s="230"/>
      <c r="FC190" s="230"/>
      <c r="FD190" s="230"/>
      <c r="FE190" s="230"/>
      <c r="FF190" s="230"/>
      <c r="FG190" s="230"/>
      <c r="FH190" s="230"/>
      <c r="FI190" s="230"/>
      <c r="FJ190" s="230"/>
      <c r="FK190" s="230"/>
      <c r="FL190" s="230"/>
      <c r="FM190" s="230"/>
      <c r="FN190" s="230"/>
      <c r="FO190" s="230"/>
      <c r="FP190" s="230"/>
      <c r="FQ190" s="230"/>
      <c r="FR190" s="230"/>
      <c r="FS190" s="230"/>
      <c r="FT190" s="230"/>
      <c r="FU190" s="230"/>
      <c r="FV190" s="230"/>
      <c r="FW190" s="230"/>
      <c r="FX190" s="230"/>
      <c r="FY190" s="230"/>
      <c r="FZ190" s="230"/>
      <c r="GA190" s="230"/>
      <c r="GB190" s="230"/>
      <c r="GC190" s="230"/>
      <c r="GD190" s="230"/>
      <c r="GE190" s="230"/>
      <c r="GF190" s="230"/>
      <c r="GG190" s="230"/>
      <c r="GH190" s="230"/>
      <c r="GI190" s="230"/>
      <c r="GJ190" s="230"/>
      <c r="GK190" s="230"/>
      <c r="GL190" s="230"/>
      <c r="GM190" s="230"/>
      <c r="GN190" s="230"/>
      <c r="GO190" s="230"/>
      <c r="GP190" s="230"/>
      <c r="GQ190" s="230"/>
      <c r="GR190" s="230"/>
      <c r="GS190" s="230"/>
      <c r="GT190" s="230"/>
      <c r="GU190" s="230"/>
      <c r="GV190" s="230"/>
      <c r="GW190" s="230"/>
      <c r="GX190" s="230"/>
      <c r="GY190" s="230"/>
      <c r="GZ190" s="230"/>
      <c r="HA190" s="230"/>
      <c r="HB190" s="230"/>
      <c r="HC190" s="230"/>
      <c r="HD190" s="230"/>
      <c r="HE190" s="230"/>
      <c r="HF190" s="230"/>
      <c r="HG190" s="230"/>
      <c r="HH190" s="230"/>
      <c r="HI190" s="230"/>
      <c r="HJ190" s="230"/>
      <c r="HK190" s="230"/>
      <c r="HL190" s="230"/>
      <c r="HM190" s="230"/>
      <c r="HN190" s="230"/>
      <c r="HO190" s="230"/>
      <c r="HP190" s="230"/>
      <c r="HQ190" s="230"/>
      <c r="HR190" s="230"/>
      <c r="HS190" s="230"/>
      <c r="HT190" s="230"/>
      <c r="HU190" s="230"/>
      <c r="HV190" s="230"/>
      <c r="HW190" s="230"/>
      <c r="HX190" s="230"/>
      <c r="HY190" s="230"/>
      <c r="HZ190" s="230"/>
      <c r="IA190" s="230"/>
      <c r="IB190" s="230"/>
      <c r="IC190" s="230"/>
      <c r="ID190" s="230"/>
      <c r="IE190" s="230"/>
      <c r="IF190" s="230"/>
      <c r="IG190" s="230"/>
      <c r="IH190" s="230"/>
      <c r="II190" s="230"/>
      <c r="IJ190" s="230"/>
      <c r="IK190" s="230"/>
      <c r="IL190" s="230"/>
      <c r="IM190" s="230"/>
      <c r="IN190" s="230"/>
      <c r="IO190" s="230"/>
      <c r="IP190" s="230"/>
      <c r="IQ190" s="230"/>
      <c r="IR190" s="230"/>
      <c r="IS190" s="230"/>
      <c r="IT190" s="230"/>
    </row>
    <row r="191" spans="1:255" s="73" customFormat="1">
      <c r="A191" s="193" t="s">
        <v>520</v>
      </c>
      <c r="B191" s="194">
        <f>0.89*12*B178*1.5</f>
        <v>41371.649999999994</v>
      </c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0"/>
      <c r="AG191" s="230"/>
      <c r="AH191" s="230"/>
      <c r="AI191" s="230"/>
      <c r="AJ191" s="230"/>
      <c r="AK191" s="230"/>
      <c r="AL191" s="230"/>
      <c r="AM191" s="230"/>
      <c r="AN191" s="230"/>
      <c r="AO191" s="230"/>
      <c r="AP191" s="230"/>
      <c r="AQ191" s="230"/>
      <c r="AR191" s="230"/>
      <c r="AS191" s="230"/>
      <c r="AT191" s="230"/>
      <c r="AU191" s="230"/>
      <c r="AV191" s="230"/>
      <c r="AW191" s="230"/>
      <c r="AX191" s="230"/>
      <c r="AY191" s="230"/>
      <c r="AZ191" s="230"/>
      <c r="BA191" s="230"/>
      <c r="BB191" s="230"/>
      <c r="BC191" s="230"/>
      <c r="BD191" s="230"/>
      <c r="BE191" s="230"/>
      <c r="BF191" s="230"/>
      <c r="BG191" s="230"/>
      <c r="BH191" s="230"/>
      <c r="BI191" s="230"/>
      <c r="BJ191" s="230"/>
      <c r="BK191" s="230"/>
      <c r="BL191" s="230"/>
      <c r="BM191" s="230"/>
      <c r="BN191" s="230"/>
      <c r="BO191" s="230"/>
      <c r="BP191" s="230"/>
      <c r="BQ191" s="230"/>
      <c r="BR191" s="230"/>
      <c r="BS191" s="230"/>
      <c r="BT191" s="230"/>
      <c r="BU191" s="230"/>
      <c r="BV191" s="230"/>
      <c r="BW191" s="230"/>
      <c r="BX191" s="230"/>
      <c r="BY191" s="230"/>
      <c r="BZ191" s="230"/>
      <c r="CA191" s="230"/>
      <c r="CB191" s="230"/>
      <c r="CC191" s="230"/>
      <c r="CD191" s="230"/>
      <c r="CE191" s="230"/>
      <c r="CF191" s="230"/>
      <c r="CG191" s="230"/>
      <c r="CH191" s="230"/>
      <c r="CI191" s="230"/>
      <c r="CJ191" s="230"/>
      <c r="CK191" s="230"/>
      <c r="CL191" s="230"/>
      <c r="CM191" s="230"/>
      <c r="CN191" s="230"/>
      <c r="CO191" s="230"/>
      <c r="CP191" s="230"/>
      <c r="CQ191" s="230"/>
      <c r="CR191" s="230"/>
      <c r="CS191" s="230"/>
      <c r="CT191" s="230"/>
      <c r="CU191" s="230"/>
      <c r="CV191" s="230"/>
      <c r="CW191" s="230"/>
      <c r="CX191" s="230"/>
      <c r="CY191" s="230"/>
      <c r="CZ191" s="230"/>
      <c r="DA191" s="230"/>
      <c r="DB191" s="230"/>
      <c r="DC191" s="230"/>
      <c r="DD191" s="230"/>
      <c r="DE191" s="230"/>
      <c r="DF191" s="230"/>
      <c r="DG191" s="230"/>
      <c r="DH191" s="230"/>
      <c r="DI191" s="230"/>
      <c r="DJ191" s="230"/>
      <c r="DK191" s="230"/>
      <c r="DL191" s="230"/>
      <c r="DM191" s="230"/>
      <c r="DN191" s="230"/>
      <c r="DO191" s="230"/>
      <c r="DP191" s="230"/>
      <c r="DQ191" s="230"/>
      <c r="DR191" s="230"/>
      <c r="DS191" s="230"/>
      <c r="DT191" s="230"/>
      <c r="DU191" s="230"/>
      <c r="DV191" s="230"/>
      <c r="DW191" s="230"/>
      <c r="DX191" s="230"/>
      <c r="DY191" s="230"/>
      <c r="DZ191" s="230"/>
      <c r="EA191" s="230"/>
      <c r="EB191" s="230"/>
      <c r="EC191" s="230"/>
      <c r="ED191" s="230"/>
      <c r="EE191" s="230"/>
      <c r="EF191" s="230"/>
      <c r="EG191" s="230"/>
      <c r="EH191" s="230"/>
      <c r="EI191" s="230"/>
      <c r="EJ191" s="230"/>
      <c r="EK191" s="230"/>
      <c r="EL191" s="230"/>
      <c r="EM191" s="230"/>
      <c r="EN191" s="230"/>
      <c r="EO191" s="230"/>
      <c r="EP191" s="230"/>
      <c r="EQ191" s="230"/>
      <c r="ER191" s="230"/>
      <c r="ES191" s="230"/>
      <c r="ET191" s="230"/>
      <c r="EU191" s="230"/>
      <c r="EV191" s="230"/>
      <c r="EW191" s="230"/>
      <c r="EX191" s="230"/>
      <c r="EY191" s="230"/>
      <c r="EZ191" s="230"/>
      <c r="FA191" s="230"/>
      <c r="FB191" s="230"/>
      <c r="FC191" s="230"/>
      <c r="FD191" s="230"/>
      <c r="FE191" s="230"/>
      <c r="FF191" s="230"/>
      <c r="FG191" s="230"/>
      <c r="FH191" s="230"/>
      <c r="FI191" s="230"/>
      <c r="FJ191" s="230"/>
      <c r="FK191" s="230"/>
      <c r="FL191" s="230"/>
      <c r="FM191" s="230"/>
      <c r="FN191" s="230"/>
      <c r="FO191" s="230"/>
      <c r="FP191" s="230"/>
      <c r="FQ191" s="230"/>
      <c r="FR191" s="230"/>
      <c r="FS191" s="230"/>
      <c r="FT191" s="230"/>
      <c r="FU191" s="230"/>
      <c r="FV191" s="230"/>
      <c r="FW191" s="230"/>
      <c r="FX191" s="230"/>
      <c r="FY191" s="230"/>
      <c r="FZ191" s="230"/>
      <c r="GA191" s="230"/>
      <c r="GB191" s="230"/>
      <c r="GC191" s="230"/>
      <c r="GD191" s="230"/>
      <c r="GE191" s="230"/>
      <c r="GF191" s="230"/>
      <c r="GG191" s="230"/>
      <c r="GH191" s="230"/>
      <c r="GI191" s="230"/>
      <c r="GJ191" s="230"/>
      <c r="GK191" s="230"/>
      <c r="GL191" s="230"/>
      <c r="GM191" s="230"/>
      <c r="GN191" s="230"/>
      <c r="GO191" s="230"/>
      <c r="GP191" s="230"/>
      <c r="GQ191" s="230"/>
      <c r="GR191" s="230"/>
      <c r="GS191" s="230"/>
      <c r="GT191" s="230"/>
      <c r="GU191" s="230"/>
      <c r="GV191" s="230"/>
      <c r="GW191" s="230"/>
      <c r="GX191" s="230"/>
      <c r="GY191" s="230"/>
      <c r="GZ191" s="230"/>
      <c r="HA191" s="230"/>
      <c r="HB191" s="230"/>
      <c r="HC191" s="230"/>
      <c r="HD191" s="230"/>
      <c r="HE191" s="230"/>
      <c r="HF191" s="230"/>
      <c r="HG191" s="230"/>
      <c r="HH191" s="230"/>
      <c r="HI191" s="230"/>
      <c r="HJ191" s="230"/>
      <c r="HK191" s="230"/>
      <c r="HL191" s="230"/>
      <c r="HM191" s="230"/>
      <c r="HN191" s="230"/>
      <c r="HO191" s="230"/>
      <c r="HP191" s="230"/>
      <c r="HQ191" s="230"/>
      <c r="HR191" s="230"/>
      <c r="HS191" s="230"/>
      <c r="HT191" s="230"/>
      <c r="HU191" s="230"/>
      <c r="HV191" s="230"/>
      <c r="HW191" s="230"/>
      <c r="HX191" s="230"/>
      <c r="HY191" s="230"/>
      <c r="HZ191" s="230"/>
      <c r="IA191" s="230"/>
      <c r="IB191" s="230"/>
      <c r="IC191" s="230"/>
      <c r="ID191" s="230"/>
      <c r="IE191" s="230"/>
      <c r="IF191" s="230"/>
      <c r="IG191" s="230"/>
      <c r="IH191" s="230"/>
      <c r="II191" s="230"/>
      <c r="IJ191" s="230"/>
      <c r="IK191" s="230"/>
      <c r="IL191" s="230"/>
      <c r="IM191" s="230"/>
      <c r="IN191" s="230"/>
      <c r="IO191" s="230"/>
      <c r="IP191" s="230"/>
      <c r="IQ191" s="230"/>
      <c r="IR191" s="230"/>
      <c r="IS191" s="230"/>
      <c r="IT191" s="230"/>
    </row>
    <row r="192" spans="1:255">
      <c r="A192" s="181" t="s">
        <v>600</v>
      </c>
      <c r="B192" s="194">
        <f>150*70</f>
        <v>10500</v>
      </c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79"/>
      <c r="BN192" s="179"/>
      <c r="BO192" s="179"/>
      <c r="BP192" s="179"/>
      <c r="BQ192" s="179"/>
      <c r="BR192" s="179"/>
      <c r="BS192" s="179"/>
      <c r="BT192" s="179"/>
      <c r="BU192" s="179"/>
      <c r="BV192" s="179"/>
      <c r="BW192" s="179"/>
      <c r="BX192" s="179"/>
      <c r="BY192" s="179"/>
      <c r="BZ192" s="179"/>
      <c r="CA192" s="179"/>
      <c r="CB192" s="179"/>
      <c r="CC192" s="179"/>
      <c r="CD192" s="179"/>
      <c r="CE192" s="179"/>
      <c r="CF192" s="179"/>
      <c r="CG192" s="179"/>
      <c r="CH192" s="179"/>
      <c r="CI192" s="179"/>
      <c r="CJ192" s="179"/>
      <c r="CK192" s="179"/>
      <c r="CL192" s="179"/>
      <c r="CM192" s="179"/>
      <c r="CN192" s="179"/>
      <c r="CO192" s="179"/>
      <c r="CP192" s="179"/>
      <c r="CQ192" s="179"/>
      <c r="CR192" s="179"/>
      <c r="CS192" s="179"/>
      <c r="CT192" s="179"/>
      <c r="CU192" s="179"/>
      <c r="CV192" s="179"/>
      <c r="CW192" s="179"/>
      <c r="CX192" s="179"/>
      <c r="CY192" s="179"/>
      <c r="CZ192" s="179"/>
      <c r="DA192" s="179"/>
      <c r="DB192" s="179"/>
      <c r="DC192" s="179"/>
      <c r="DD192" s="179"/>
      <c r="DE192" s="179"/>
      <c r="DF192" s="179"/>
      <c r="DG192" s="179"/>
      <c r="DH192" s="179"/>
      <c r="DI192" s="179"/>
      <c r="DJ192" s="179"/>
      <c r="DK192" s="179"/>
      <c r="DL192" s="179"/>
      <c r="DM192" s="179"/>
      <c r="DN192" s="179"/>
      <c r="DO192" s="179"/>
      <c r="DP192" s="179"/>
      <c r="DQ192" s="179"/>
      <c r="DR192" s="179"/>
      <c r="DS192" s="179"/>
      <c r="DT192" s="179"/>
      <c r="DU192" s="179"/>
      <c r="DV192" s="179"/>
      <c r="DW192" s="179"/>
      <c r="DX192" s="179"/>
      <c r="DY192" s="179"/>
      <c r="DZ192" s="179"/>
      <c r="EA192" s="179"/>
      <c r="EB192" s="179"/>
      <c r="EC192" s="179"/>
      <c r="ED192" s="179"/>
      <c r="EE192" s="179"/>
      <c r="EF192" s="179"/>
      <c r="EG192" s="179"/>
      <c r="EH192" s="179"/>
      <c r="EI192" s="179"/>
      <c r="EJ192" s="179"/>
      <c r="EK192" s="179"/>
      <c r="EL192" s="179"/>
      <c r="EM192" s="179"/>
      <c r="EN192" s="179"/>
      <c r="EO192" s="179"/>
      <c r="EP192" s="179"/>
      <c r="EQ192" s="179"/>
      <c r="ER192" s="179"/>
      <c r="ES192" s="179"/>
      <c r="ET192" s="179"/>
      <c r="EU192" s="179"/>
      <c r="EV192" s="179"/>
      <c r="EW192" s="179"/>
      <c r="EX192" s="179"/>
      <c r="EY192" s="179"/>
      <c r="EZ192" s="179"/>
      <c r="FA192" s="179"/>
      <c r="FB192" s="179"/>
      <c r="FC192" s="179"/>
      <c r="FD192" s="179"/>
      <c r="FE192" s="179"/>
      <c r="FF192" s="179"/>
      <c r="FG192" s="179"/>
      <c r="FH192" s="179"/>
      <c r="FI192" s="179"/>
      <c r="FJ192" s="179"/>
      <c r="FK192" s="179"/>
      <c r="FL192" s="179"/>
      <c r="FM192" s="179"/>
      <c r="FN192" s="179"/>
      <c r="FO192" s="179"/>
      <c r="FP192" s="179"/>
      <c r="FQ192" s="179"/>
      <c r="FR192" s="179"/>
      <c r="FS192" s="179"/>
      <c r="FT192" s="179"/>
      <c r="FU192" s="179"/>
      <c r="FV192" s="179"/>
      <c r="FW192" s="179"/>
      <c r="FX192" s="179"/>
      <c r="FY192" s="179"/>
      <c r="FZ192" s="179"/>
      <c r="GA192" s="179"/>
      <c r="GB192" s="179"/>
      <c r="GC192" s="179"/>
      <c r="GD192" s="179"/>
      <c r="GE192" s="179"/>
      <c r="GF192" s="179"/>
      <c r="GG192" s="179"/>
      <c r="GH192" s="179"/>
      <c r="GI192" s="179"/>
      <c r="GJ192" s="179"/>
      <c r="GK192" s="179"/>
      <c r="GL192" s="179"/>
      <c r="GM192" s="179"/>
      <c r="GN192" s="179"/>
      <c r="GO192" s="179"/>
      <c r="GP192" s="179"/>
      <c r="GQ192" s="179"/>
      <c r="GR192" s="179"/>
      <c r="GS192" s="179"/>
      <c r="GT192" s="179"/>
      <c r="GU192" s="179"/>
      <c r="GV192" s="179"/>
      <c r="GW192" s="179"/>
      <c r="GX192" s="179"/>
      <c r="GY192" s="179"/>
      <c r="GZ192" s="179"/>
      <c r="HA192" s="179"/>
      <c r="HB192" s="179"/>
      <c r="HC192" s="179"/>
      <c r="HD192" s="179"/>
      <c r="HE192" s="179"/>
      <c r="HF192" s="179"/>
      <c r="HG192" s="179"/>
      <c r="HH192" s="179"/>
      <c r="HI192" s="179"/>
      <c r="HJ192" s="179"/>
      <c r="HK192" s="179"/>
      <c r="HL192" s="179"/>
      <c r="HM192" s="179"/>
      <c r="HN192" s="179"/>
      <c r="HO192" s="179"/>
      <c r="HP192" s="179"/>
      <c r="HQ192" s="179"/>
      <c r="HR192" s="179"/>
      <c r="HS192" s="179"/>
      <c r="HT192" s="179"/>
      <c r="HU192" s="179"/>
      <c r="HV192" s="179"/>
      <c r="HW192" s="179"/>
      <c r="HX192" s="179"/>
      <c r="HY192" s="179"/>
      <c r="HZ192" s="179"/>
      <c r="IA192" s="179"/>
      <c r="IB192" s="179"/>
      <c r="IC192" s="179"/>
      <c r="ID192" s="179"/>
      <c r="IE192" s="179"/>
      <c r="IF192" s="179"/>
      <c r="IG192" s="179"/>
      <c r="IH192" s="179"/>
      <c r="II192" s="179"/>
      <c r="IJ192" s="179"/>
      <c r="IK192" s="179"/>
      <c r="IL192" s="179"/>
      <c r="IM192" s="179"/>
      <c r="IN192" s="179"/>
      <c r="IO192" s="179"/>
      <c r="IP192" s="179"/>
      <c r="IQ192" s="179"/>
      <c r="IR192" s="179"/>
      <c r="IS192" s="179"/>
      <c r="IT192" s="179"/>
    </row>
    <row r="193" spans="1:254" s="73" customFormat="1">
      <c r="A193" s="193" t="s">
        <v>601</v>
      </c>
      <c r="B193" s="194">
        <f>0.9*9100*13*1.302*1.5</f>
        <v>207935.91</v>
      </c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  <c r="AE193" s="230"/>
      <c r="AF193" s="230"/>
      <c r="AG193" s="230"/>
      <c r="AH193" s="230"/>
      <c r="AI193" s="230"/>
      <c r="AJ193" s="230"/>
      <c r="AK193" s="230"/>
      <c r="AL193" s="230"/>
      <c r="AM193" s="230"/>
      <c r="AN193" s="230"/>
      <c r="AO193" s="230"/>
      <c r="AP193" s="230"/>
      <c r="AQ193" s="230"/>
      <c r="AR193" s="230"/>
      <c r="AS193" s="230"/>
      <c r="AT193" s="230"/>
      <c r="AU193" s="230"/>
      <c r="AV193" s="230"/>
      <c r="AW193" s="230"/>
      <c r="AX193" s="230"/>
      <c r="AY193" s="230"/>
      <c r="AZ193" s="230"/>
      <c r="BA193" s="230"/>
      <c r="BB193" s="230"/>
      <c r="BC193" s="230"/>
      <c r="BD193" s="230"/>
      <c r="BE193" s="230"/>
      <c r="BF193" s="230"/>
      <c r="BG193" s="230"/>
      <c r="BH193" s="230"/>
      <c r="BI193" s="230"/>
      <c r="BJ193" s="230"/>
      <c r="BK193" s="230"/>
      <c r="BL193" s="230"/>
      <c r="BM193" s="230"/>
      <c r="BN193" s="230"/>
      <c r="BO193" s="230"/>
      <c r="BP193" s="230"/>
      <c r="BQ193" s="230"/>
      <c r="BR193" s="230"/>
      <c r="BS193" s="230"/>
      <c r="BT193" s="230"/>
      <c r="BU193" s="230"/>
      <c r="BV193" s="230"/>
      <c r="BW193" s="230"/>
      <c r="BX193" s="230"/>
      <c r="BY193" s="230"/>
      <c r="BZ193" s="230"/>
      <c r="CA193" s="230"/>
      <c r="CB193" s="230"/>
      <c r="CC193" s="230"/>
      <c r="CD193" s="230"/>
      <c r="CE193" s="230"/>
      <c r="CF193" s="230"/>
      <c r="CG193" s="230"/>
      <c r="CH193" s="230"/>
      <c r="CI193" s="230"/>
      <c r="CJ193" s="230"/>
      <c r="CK193" s="230"/>
      <c r="CL193" s="230"/>
      <c r="CM193" s="230"/>
      <c r="CN193" s="230"/>
      <c r="CO193" s="230"/>
      <c r="CP193" s="230"/>
      <c r="CQ193" s="230"/>
      <c r="CR193" s="230"/>
      <c r="CS193" s="230"/>
      <c r="CT193" s="230"/>
      <c r="CU193" s="230"/>
      <c r="CV193" s="230"/>
      <c r="CW193" s="230"/>
      <c r="CX193" s="230"/>
      <c r="CY193" s="230"/>
      <c r="CZ193" s="230"/>
      <c r="DA193" s="230"/>
      <c r="DB193" s="230"/>
      <c r="DC193" s="230"/>
      <c r="DD193" s="230"/>
      <c r="DE193" s="230"/>
      <c r="DF193" s="230"/>
      <c r="DG193" s="230"/>
      <c r="DH193" s="230"/>
      <c r="DI193" s="230"/>
      <c r="DJ193" s="230"/>
      <c r="DK193" s="230"/>
      <c r="DL193" s="230"/>
      <c r="DM193" s="230"/>
      <c r="DN193" s="230"/>
      <c r="DO193" s="230"/>
      <c r="DP193" s="230"/>
      <c r="DQ193" s="230"/>
      <c r="DR193" s="230"/>
      <c r="DS193" s="230"/>
      <c r="DT193" s="230"/>
      <c r="DU193" s="230"/>
      <c r="DV193" s="230"/>
      <c r="DW193" s="230"/>
      <c r="DX193" s="230"/>
      <c r="DY193" s="230"/>
      <c r="DZ193" s="230"/>
      <c r="EA193" s="230"/>
      <c r="EB193" s="230"/>
      <c r="EC193" s="230"/>
      <c r="ED193" s="230"/>
      <c r="EE193" s="230"/>
      <c r="EF193" s="230"/>
      <c r="EG193" s="230"/>
      <c r="EH193" s="230"/>
      <c r="EI193" s="230"/>
      <c r="EJ193" s="230"/>
      <c r="EK193" s="230"/>
      <c r="EL193" s="230"/>
      <c r="EM193" s="230"/>
      <c r="EN193" s="230"/>
      <c r="EO193" s="230"/>
      <c r="EP193" s="230"/>
      <c r="EQ193" s="230"/>
      <c r="ER193" s="230"/>
      <c r="ES193" s="230"/>
      <c r="ET193" s="230"/>
      <c r="EU193" s="230"/>
      <c r="EV193" s="230"/>
      <c r="EW193" s="230"/>
      <c r="EX193" s="230"/>
      <c r="EY193" s="230"/>
      <c r="EZ193" s="230"/>
      <c r="FA193" s="230"/>
      <c r="FB193" s="230"/>
      <c r="FC193" s="230"/>
      <c r="FD193" s="230"/>
      <c r="FE193" s="230"/>
      <c r="FF193" s="230"/>
      <c r="FG193" s="230"/>
      <c r="FH193" s="230"/>
      <c r="FI193" s="230"/>
      <c r="FJ193" s="230"/>
      <c r="FK193" s="230"/>
      <c r="FL193" s="230"/>
      <c r="FM193" s="230"/>
      <c r="FN193" s="230"/>
      <c r="FO193" s="230"/>
      <c r="FP193" s="230"/>
      <c r="FQ193" s="230"/>
      <c r="FR193" s="230"/>
      <c r="FS193" s="230"/>
      <c r="FT193" s="230"/>
      <c r="FU193" s="230"/>
      <c r="FV193" s="230"/>
      <c r="FW193" s="230"/>
      <c r="FX193" s="230"/>
      <c r="FY193" s="230"/>
      <c r="FZ193" s="230"/>
      <c r="GA193" s="230"/>
      <c r="GB193" s="230"/>
      <c r="GC193" s="230"/>
      <c r="GD193" s="230"/>
      <c r="GE193" s="230"/>
      <c r="GF193" s="230"/>
      <c r="GG193" s="230"/>
      <c r="GH193" s="230"/>
      <c r="GI193" s="230"/>
      <c r="GJ193" s="230"/>
      <c r="GK193" s="230"/>
      <c r="GL193" s="230"/>
      <c r="GM193" s="230"/>
      <c r="GN193" s="230"/>
      <c r="GO193" s="230"/>
      <c r="GP193" s="230"/>
      <c r="GQ193" s="230"/>
      <c r="GR193" s="230"/>
      <c r="GS193" s="230"/>
      <c r="GT193" s="230"/>
      <c r="GU193" s="230"/>
      <c r="GV193" s="230"/>
      <c r="GW193" s="230"/>
      <c r="GX193" s="230"/>
      <c r="GY193" s="230"/>
      <c r="GZ193" s="230"/>
      <c r="HA193" s="230"/>
      <c r="HB193" s="230"/>
      <c r="HC193" s="230"/>
      <c r="HD193" s="230"/>
      <c r="HE193" s="230"/>
      <c r="HF193" s="230"/>
      <c r="HG193" s="230"/>
      <c r="HH193" s="230"/>
      <c r="HI193" s="230"/>
      <c r="HJ193" s="230"/>
      <c r="HK193" s="230"/>
      <c r="HL193" s="230"/>
      <c r="HM193" s="230"/>
      <c r="HN193" s="230"/>
      <c r="HO193" s="230"/>
      <c r="HP193" s="230"/>
      <c r="HQ193" s="230"/>
      <c r="HR193" s="230"/>
      <c r="HS193" s="230"/>
      <c r="HT193" s="230"/>
      <c r="HU193" s="230"/>
      <c r="HV193" s="230"/>
      <c r="HW193" s="230"/>
      <c r="HX193" s="230"/>
      <c r="HY193" s="230"/>
      <c r="HZ193" s="230"/>
      <c r="IA193" s="230"/>
      <c r="IB193" s="230"/>
      <c r="IC193" s="230"/>
      <c r="ID193" s="230"/>
      <c r="IE193" s="230"/>
      <c r="IF193" s="230"/>
      <c r="IG193" s="230"/>
      <c r="IH193" s="230"/>
      <c r="II193" s="230"/>
      <c r="IJ193" s="230"/>
      <c r="IK193" s="230"/>
      <c r="IL193" s="230"/>
      <c r="IM193" s="230"/>
      <c r="IN193" s="230"/>
      <c r="IO193" s="230"/>
      <c r="IP193" s="230"/>
      <c r="IQ193" s="230"/>
      <c r="IR193" s="230"/>
      <c r="IS193" s="230"/>
      <c r="IT193" s="230"/>
    </row>
    <row r="194" spans="1:254">
      <c r="A194" s="181" t="s">
        <v>602</v>
      </c>
      <c r="B194" s="194">
        <f>B173</f>
        <v>540.5</v>
      </c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  <c r="BD194" s="179"/>
      <c r="BE194" s="179"/>
      <c r="BF194" s="179"/>
      <c r="BG194" s="179"/>
      <c r="BH194" s="179"/>
      <c r="BI194" s="179"/>
      <c r="BJ194" s="179"/>
      <c r="BK194" s="179"/>
      <c r="BL194" s="179"/>
      <c r="BM194" s="179"/>
      <c r="BN194" s="179"/>
      <c r="BO194" s="179"/>
      <c r="BP194" s="179"/>
      <c r="BQ194" s="179"/>
      <c r="BR194" s="179"/>
      <c r="BS194" s="179"/>
      <c r="BT194" s="179"/>
      <c r="BU194" s="179"/>
      <c r="BV194" s="179"/>
      <c r="BW194" s="179"/>
      <c r="BX194" s="179"/>
      <c r="BY194" s="179"/>
      <c r="BZ194" s="179"/>
      <c r="CA194" s="179"/>
      <c r="CB194" s="179"/>
      <c r="CC194" s="179"/>
      <c r="CD194" s="179"/>
      <c r="CE194" s="179"/>
      <c r="CF194" s="179"/>
      <c r="CG194" s="179"/>
      <c r="CH194" s="179"/>
      <c r="CI194" s="179"/>
      <c r="CJ194" s="179"/>
      <c r="CK194" s="179"/>
      <c r="CL194" s="179"/>
      <c r="CM194" s="179"/>
      <c r="CN194" s="179"/>
      <c r="CO194" s="179"/>
      <c r="CP194" s="179"/>
      <c r="CQ194" s="179"/>
      <c r="CR194" s="179"/>
      <c r="CS194" s="179"/>
      <c r="CT194" s="179"/>
      <c r="CU194" s="179"/>
      <c r="CV194" s="179"/>
      <c r="CW194" s="179"/>
      <c r="CX194" s="179"/>
      <c r="CY194" s="179"/>
      <c r="CZ194" s="179"/>
      <c r="DA194" s="179"/>
      <c r="DB194" s="179"/>
      <c r="DC194" s="179"/>
      <c r="DD194" s="179"/>
      <c r="DE194" s="179"/>
      <c r="DF194" s="179"/>
      <c r="DG194" s="179"/>
      <c r="DH194" s="179"/>
      <c r="DI194" s="179"/>
      <c r="DJ194" s="179"/>
      <c r="DK194" s="179"/>
      <c r="DL194" s="179"/>
      <c r="DM194" s="179"/>
      <c r="DN194" s="179"/>
      <c r="DO194" s="179"/>
      <c r="DP194" s="179"/>
      <c r="DQ194" s="179"/>
      <c r="DR194" s="179"/>
      <c r="DS194" s="179"/>
      <c r="DT194" s="179"/>
      <c r="DU194" s="179"/>
      <c r="DV194" s="179"/>
      <c r="DW194" s="179"/>
      <c r="DX194" s="179"/>
      <c r="DY194" s="179"/>
      <c r="DZ194" s="179"/>
      <c r="EA194" s="179"/>
      <c r="EB194" s="179"/>
      <c r="EC194" s="179"/>
      <c r="ED194" s="179"/>
      <c r="EE194" s="179"/>
      <c r="EF194" s="179"/>
      <c r="EG194" s="179"/>
      <c r="EH194" s="179"/>
      <c r="EI194" s="179"/>
      <c r="EJ194" s="179"/>
      <c r="EK194" s="179"/>
      <c r="EL194" s="179"/>
      <c r="EM194" s="179"/>
      <c r="EN194" s="179"/>
      <c r="EO194" s="179"/>
      <c r="EP194" s="179"/>
      <c r="EQ194" s="179"/>
      <c r="ER194" s="179"/>
      <c r="ES194" s="179"/>
      <c r="ET194" s="179"/>
      <c r="EU194" s="179"/>
      <c r="EV194" s="179"/>
      <c r="EW194" s="179"/>
      <c r="EX194" s="179"/>
      <c r="EY194" s="179"/>
      <c r="EZ194" s="179"/>
      <c r="FA194" s="179"/>
      <c r="FB194" s="179"/>
      <c r="FC194" s="179"/>
      <c r="FD194" s="179"/>
      <c r="FE194" s="179"/>
      <c r="FF194" s="179"/>
      <c r="FG194" s="179"/>
      <c r="FH194" s="179"/>
      <c r="FI194" s="179"/>
      <c r="FJ194" s="179"/>
      <c r="FK194" s="179"/>
      <c r="FL194" s="179"/>
      <c r="FM194" s="179"/>
      <c r="FN194" s="179"/>
      <c r="FO194" s="179"/>
      <c r="FP194" s="179"/>
      <c r="FQ194" s="179"/>
      <c r="FR194" s="179"/>
      <c r="FS194" s="179"/>
      <c r="FT194" s="179"/>
      <c r="FU194" s="179"/>
      <c r="FV194" s="179"/>
      <c r="FW194" s="179"/>
      <c r="FX194" s="179"/>
      <c r="FY194" s="179"/>
      <c r="FZ194" s="179"/>
      <c r="GA194" s="179"/>
      <c r="GB194" s="179"/>
      <c r="GC194" s="179"/>
      <c r="GD194" s="179"/>
      <c r="GE194" s="179"/>
      <c r="GF194" s="179"/>
      <c r="GG194" s="179"/>
      <c r="GH194" s="179"/>
      <c r="GI194" s="179"/>
      <c r="GJ194" s="179"/>
      <c r="GK194" s="179"/>
      <c r="GL194" s="179"/>
      <c r="GM194" s="179"/>
      <c r="GN194" s="179"/>
      <c r="GO194" s="179"/>
      <c r="GP194" s="179"/>
      <c r="GQ194" s="179"/>
      <c r="GR194" s="179"/>
      <c r="GS194" s="179"/>
      <c r="GT194" s="179"/>
      <c r="GU194" s="179"/>
      <c r="GV194" s="179"/>
      <c r="GW194" s="179"/>
      <c r="GX194" s="179"/>
      <c r="GY194" s="179"/>
      <c r="GZ194" s="179"/>
      <c r="HA194" s="179"/>
      <c r="HB194" s="179"/>
      <c r="HC194" s="179"/>
      <c r="HD194" s="179"/>
      <c r="HE194" s="179"/>
      <c r="HF194" s="179"/>
      <c r="HG194" s="179"/>
      <c r="HH194" s="179"/>
      <c r="HI194" s="179"/>
      <c r="HJ194" s="179"/>
      <c r="HK194" s="179"/>
      <c r="HL194" s="179"/>
      <c r="HM194" s="179"/>
      <c r="HN194" s="179"/>
      <c r="HO194" s="179"/>
      <c r="HP194" s="179"/>
      <c r="HQ194" s="179"/>
      <c r="HR194" s="179"/>
      <c r="HS194" s="179"/>
      <c r="HT194" s="179"/>
      <c r="HU194" s="179"/>
      <c r="HV194" s="179"/>
      <c r="HW194" s="179"/>
      <c r="HX194" s="179"/>
      <c r="HY194" s="179"/>
      <c r="HZ194" s="179"/>
      <c r="IA194" s="179"/>
      <c r="IB194" s="179"/>
      <c r="IC194" s="179"/>
      <c r="ID194" s="179"/>
      <c r="IE194" s="179"/>
      <c r="IF194" s="179"/>
      <c r="IG194" s="179"/>
      <c r="IH194" s="179"/>
      <c r="II194" s="179"/>
      <c r="IJ194" s="179"/>
      <c r="IK194" s="179"/>
      <c r="IL194" s="179"/>
      <c r="IM194" s="179"/>
      <c r="IN194" s="179"/>
      <c r="IO194" s="179"/>
      <c r="IP194" s="179"/>
      <c r="IQ194" s="179"/>
      <c r="IR194" s="179"/>
      <c r="IS194" s="179"/>
      <c r="IT194" s="179"/>
    </row>
    <row r="195" spans="1:254">
      <c r="A195" s="181" t="s">
        <v>603</v>
      </c>
      <c r="B195" s="194">
        <f>B194*130*1.302*1.5</f>
        <v>137227.54499999998</v>
      </c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79"/>
      <c r="AT195" s="179"/>
      <c r="AU195" s="179"/>
      <c r="AV195" s="179"/>
      <c r="AW195" s="179"/>
      <c r="AX195" s="179"/>
      <c r="AY195" s="179"/>
      <c r="AZ195" s="179"/>
      <c r="BA195" s="179"/>
      <c r="BB195" s="179"/>
      <c r="BC195" s="179"/>
      <c r="BD195" s="179"/>
      <c r="BE195" s="179"/>
      <c r="BF195" s="179"/>
      <c r="BG195" s="179"/>
      <c r="BH195" s="179"/>
      <c r="BI195" s="179"/>
      <c r="BJ195" s="179"/>
      <c r="BK195" s="179"/>
      <c r="BL195" s="179"/>
      <c r="BM195" s="179"/>
      <c r="BN195" s="179"/>
      <c r="BO195" s="179"/>
      <c r="BP195" s="179"/>
      <c r="BQ195" s="179"/>
      <c r="BR195" s="179"/>
      <c r="BS195" s="179"/>
      <c r="BT195" s="179"/>
      <c r="BU195" s="179"/>
      <c r="BV195" s="179"/>
      <c r="BW195" s="179"/>
      <c r="BX195" s="179"/>
      <c r="BY195" s="179"/>
      <c r="BZ195" s="179"/>
      <c r="CA195" s="179"/>
      <c r="CB195" s="179"/>
      <c r="CC195" s="179"/>
      <c r="CD195" s="179"/>
      <c r="CE195" s="179"/>
      <c r="CF195" s="179"/>
      <c r="CG195" s="179"/>
      <c r="CH195" s="179"/>
      <c r="CI195" s="179"/>
      <c r="CJ195" s="179"/>
      <c r="CK195" s="179"/>
      <c r="CL195" s="179"/>
      <c r="CM195" s="179"/>
      <c r="CN195" s="179"/>
      <c r="CO195" s="179"/>
      <c r="CP195" s="179"/>
      <c r="CQ195" s="179"/>
      <c r="CR195" s="179"/>
      <c r="CS195" s="179"/>
      <c r="CT195" s="179"/>
      <c r="CU195" s="179"/>
      <c r="CV195" s="179"/>
      <c r="CW195" s="179"/>
      <c r="CX195" s="179"/>
      <c r="CY195" s="179"/>
      <c r="CZ195" s="179"/>
      <c r="DA195" s="179"/>
      <c r="DB195" s="179"/>
      <c r="DC195" s="179"/>
      <c r="DD195" s="179"/>
      <c r="DE195" s="179"/>
      <c r="DF195" s="179"/>
      <c r="DG195" s="179"/>
      <c r="DH195" s="179"/>
      <c r="DI195" s="179"/>
      <c r="DJ195" s="179"/>
      <c r="DK195" s="179"/>
      <c r="DL195" s="179"/>
      <c r="DM195" s="179"/>
      <c r="DN195" s="179"/>
      <c r="DO195" s="179"/>
      <c r="DP195" s="179"/>
      <c r="DQ195" s="179"/>
      <c r="DR195" s="179"/>
      <c r="DS195" s="179"/>
      <c r="DT195" s="179"/>
      <c r="DU195" s="179"/>
      <c r="DV195" s="179"/>
      <c r="DW195" s="179"/>
      <c r="DX195" s="179"/>
      <c r="DY195" s="179"/>
      <c r="DZ195" s="179"/>
      <c r="EA195" s="179"/>
      <c r="EB195" s="179"/>
      <c r="EC195" s="179"/>
      <c r="ED195" s="179"/>
      <c r="EE195" s="179"/>
      <c r="EF195" s="179"/>
      <c r="EG195" s="179"/>
      <c r="EH195" s="179"/>
      <c r="EI195" s="179"/>
      <c r="EJ195" s="179"/>
      <c r="EK195" s="179"/>
      <c r="EL195" s="179"/>
      <c r="EM195" s="179"/>
      <c r="EN195" s="179"/>
      <c r="EO195" s="179"/>
      <c r="EP195" s="179"/>
      <c r="EQ195" s="179"/>
      <c r="ER195" s="179"/>
      <c r="ES195" s="179"/>
      <c r="ET195" s="179"/>
      <c r="EU195" s="179"/>
      <c r="EV195" s="179"/>
      <c r="EW195" s="179"/>
      <c r="EX195" s="179"/>
      <c r="EY195" s="179"/>
      <c r="EZ195" s="179"/>
      <c r="FA195" s="179"/>
      <c r="FB195" s="179"/>
      <c r="FC195" s="179"/>
      <c r="FD195" s="179"/>
      <c r="FE195" s="179"/>
      <c r="FF195" s="179"/>
      <c r="FG195" s="179"/>
      <c r="FH195" s="179"/>
      <c r="FI195" s="179"/>
      <c r="FJ195" s="179"/>
      <c r="FK195" s="179"/>
      <c r="FL195" s="179"/>
      <c r="FM195" s="179"/>
      <c r="FN195" s="179"/>
      <c r="FO195" s="179"/>
      <c r="FP195" s="179"/>
      <c r="FQ195" s="179"/>
      <c r="FR195" s="179"/>
      <c r="FS195" s="179"/>
      <c r="FT195" s="179"/>
      <c r="FU195" s="179"/>
      <c r="FV195" s="179"/>
      <c r="FW195" s="179"/>
      <c r="FX195" s="179"/>
      <c r="FY195" s="179"/>
      <c r="FZ195" s="179"/>
      <c r="GA195" s="179"/>
      <c r="GB195" s="179"/>
      <c r="GC195" s="179"/>
      <c r="GD195" s="179"/>
      <c r="GE195" s="179"/>
      <c r="GF195" s="179"/>
      <c r="GG195" s="179"/>
      <c r="GH195" s="179"/>
      <c r="GI195" s="179"/>
      <c r="GJ195" s="179"/>
      <c r="GK195" s="179"/>
      <c r="GL195" s="179"/>
      <c r="GM195" s="179"/>
      <c r="GN195" s="179"/>
      <c r="GO195" s="179"/>
      <c r="GP195" s="179"/>
      <c r="GQ195" s="179"/>
      <c r="GR195" s="179"/>
      <c r="GS195" s="179"/>
      <c r="GT195" s="179"/>
      <c r="GU195" s="179"/>
      <c r="GV195" s="179"/>
      <c r="GW195" s="179"/>
      <c r="GX195" s="179"/>
      <c r="GY195" s="179"/>
      <c r="GZ195" s="179"/>
      <c r="HA195" s="179"/>
      <c r="HB195" s="179"/>
      <c r="HC195" s="179"/>
      <c r="HD195" s="179"/>
      <c r="HE195" s="179"/>
      <c r="HF195" s="179"/>
      <c r="HG195" s="179"/>
      <c r="HH195" s="179"/>
      <c r="HI195" s="179"/>
      <c r="HJ195" s="179"/>
      <c r="HK195" s="179"/>
      <c r="HL195" s="179"/>
      <c r="HM195" s="179"/>
      <c r="HN195" s="179"/>
      <c r="HO195" s="179"/>
      <c r="HP195" s="179"/>
      <c r="HQ195" s="179"/>
      <c r="HR195" s="179"/>
      <c r="HS195" s="179"/>
      <c r="HT195" s="179"/>
      <c r="HU195" s="179"/>
      <c r="HV195" s="179"/>
      <c r="HW195" s="179"/>
      <c r="HX195" s="179"/>
      <c r="HY195" s="179"/>
      <c r="HZ195" s="179"/>
      <c r="IA195" s="179"/>
      <c r="IB195" s="179"/>
      <c r="IC195" s="179"/>
      <c r="ID195" s="179"/>
      <c r="IE195" s="179"/>
      <c r="IF195" s="179"/>
      <c r="IG195" s="179"/>
      <c r="IH195" s="179"/>
      <c r="II195" s="179"/>
      <c r="IJ195" s="179"/>
      <c r="IK195" s="179"/>
      <c r="IL195" s="179"/>
      <c r="IM195" s="179"/>
      <c r="IN195" s="179"/>
      <c r="IO195" s="179"/>
      <c r="IP195" s="179"/>
      <c r="IQ195" s="179"/>
      <c r="IR195" s="179"/>
      <c r="IS195" s="179"/>
      <c r="IT195" s="179"/>
    </row>
    <row r="196" spans="1:254" s="73" customFormat="1">
      <c r="A196" s="193" t="s">
        <v>1611</v>
      </c>
      <c r="B196" s="194">
        <f>(26591.4+7375.5)*1.5</f>
        <v>50950.350000000006</v>
      </c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E196" s="230"/>
      <c r="AF196" s="230"/>
      <c r="AG196" s="230"/>
      <c r="AH196" s="230"/>
      <c r="AI196" s="230"/>
      <c r="AJ196" s="230"/>
      <c r="AK196" s="230"/>
      <c r="AL196" s="230"/>
      <c r="AM196" s="230"/>
      <c r="AN196" s="230"/>
      <c r="AO196" s="230"/>
      <c r="AP196" s="230"/>
      <c r="AQ196" s="230"/>
      <c r="AR196" s="230"/>
      <c r="AS196" s="230"/>
      <c r="AT196" s="230"/>
      <c r="AU196" s="230"/>
      <c r="AV196" s="230"/>
      <c r="AW196" s="230"/>
      <c r="AX196" s="230"/>
      <c r="AY196" s="230"/>
      <c r="AZ196" s="230"/>
      <c r="BA196" s="230"/>
      <c r="BB196" s="230"/>
      <c r="BC196" s="230"/>
      <c r="BD196" s="230"/>
      <c r="BE196" s="230"/>
      <c r="BF196" s="230"/>
      <c r="BG196" s="230"/>
      <c r="BH196" s="230"/>
      <c r="BI196" s="230"/>
      <c r="BJ196" s="230"/>
      <c r="BK196" s="230"/>
      <c r="BL196" s="230"/>
      <c r="BM196" s="230"/>
      <c r="BN196" s="230"/>
      <c r="BO196" s="230"/>
      <c r="BP196" s="230"/>
      <c r="BQ196" s="230"/>
      <c r="BR196" s="230"/>
      <c r="BS196" s="230"/>
      <c r="BT196" s="230"/>
      <c r="BU196" s="230"/>
      <c r="BV196" s="230"/>
      <c r="BW196" s="230"/>
      <c r="BX196" s="230"/>
      <c r="BY196" s="230"/>
      <c r="BZ196" s="230"/>
      <c r="CA196" s="230"/>
      <c r="CB196" s="230"/>
      <c r="CC196" s="230"/>
      <c r="CD196" s="230"/>
      <c r="CE196" s="230"/>
      <c r="CF196" s="230"/>
      <c r="CG196" s="230"/>
      <c r="CH196" s="230"/>
      <c r="CI196" s="230"/>
      <c r="CJ196" s="230"/>
      <c r="CK196" s="230"/>
      <c r="CL196" s="230"/>
      <c r="CM196" s="230"/>
      <c r="CN196" s="230"/>
      <c r="CO196" s="230"/>
      <c r="CP196" s="230"/>
      <c r="CQ196" s="230"/>
      <c r="CR196" s="230"/>
      <c r="CS196" s="230"/>
      <c r="CT196" s="230"/>
      <c r="CU196" s="230"/>
      <c r="CV196" s="230"/>
      <c r="CW196" s="230"/>
      <c r="CX196" s="230"/>
      <c r="CY196" s="230"/>
      <c r="CZ196" s="230"/>
      <c r="DA196" s="230"/>
      <c r="DB196" s="230"/>
      <c r="DC196" s="230"/>
      <c r="DD196" s="230"/>
      <c r="DE196" s="230"/>
      <c r="DF196" s="230"/>
      <c r="DG196" s="230"/>
      <c r="DH196" s="230"/>
      <c r="DI196" s="230"/>
      <c r="DJ196" s="230"/>
      <c r="DK196" s="230"/>
      <c r="DL196" s="230"/>
      <c r="DM196" s="230"/>
      <c r="DN196" s="230"/>
      <c r="DO196" s="230"/>
      <c r="DP196" s="230"/>
      <c r="DQ196" s="230"/>
      <c r="DR196" s="230"/>
      <c r="DS196" s="230"/>
      <c r="DT196" s="230"/>
      <c r="DU196" s="230"/>
      <c r="DV196" s="230"/>
      <c r="DW196" s="230"/>
      <c r="DX196" s="230"/>
      <c r="DY196" s="230"/>
      <c r="DZ196" s="230"/>
      <c r="EA196" s="230"/>
      <c r="EB196" s="230"/>
      <c r="EC196" s="230"/>
      <c r="ED196" s="230"/>
      <c r="EE196" s="230"/>
      <c r="EF196" s="230"/>
      <c r="EG196" s="230"/>
      <c r="EH196" s="230"/>
      <c r="EI196" s="230"/>
      <c r="EJ196" s="230"/>
      <c r="EK196" s="230"/>
      <c r="EL196" s="230"/>
      <c r="EM196" s="230"/>
      <c r="EN196" s="230"/>
      <c r="EO196" s="230"/>
      <c r="EP196" s="230"/>
      <c r="EQ196" s="230"/>
      <c r="ER196" s="230"/>
      <c r="ES196" s="230"/>
      <c r="ET196" s="230"/>
      <c r="EU196" s="230"/>
      <c r="EV196" s="230"/>
      <c r="EW196" s="230"/>
      <c r="EX196" s="230"/>
      <c r="EY196" s="230"/>
      <c r="EZ196" s="230"/>
      <c r="FA196" s="230"/>
      <c r="FB196" s="230"/>
      <c r="FC196" s="230"/>
      <c r="FD196" s="230"/>
      <c r="FE196" s="230"/>
      <c r="FF196" s="230"/>
      <c r="FG196" s="230"/>
      <c r="FH196" s="230"/>
      <c r="FI196" s="230"/>
      <c r="FJ196" s="230"/>
      <c r="FK196" s="230"/>
      <c r="FL196" s="230"/>
      <c r="FM196" s="230"/>
      <c r="FN196" s="230"/>
      <c r="FO196" s="230"/>
      <c r="FP196" s="230"/>
      <c r="FQ196" s="230"/>
      <c r="FR196" s="230"/>
      <c r="FS196" s="230"/>
      <c r="FT196" s="230"/>
      <c r="FU196" s="230"/>
      <c r="FV196" s="230"/>
      <c r="FW196" s="230"/>
      <c r="FX196" s="230"/>
      <c r="FY196" s="230"/>
      <c r="FZ196" s="230"/>
      <c r="GA196" s="230"/>
      <c r="GB196" s="230"/>
      <c r="GC196" s="230"/>
      <c r="GD196" s="230"/>
      <c r="GE196" s="230"/>
      <c r="GF196" s="230"/>
      <c r="GG196" s="230"/>
      <c r="GH196" s="230"/>
      <c r="GI196" s="230"/>
      <c r="GJ196" s="230"/>
      <c r="GK196" s="230"/>
      <c r="GL196" s="230"/>
      <c r="GM196" s="230"/>
      <c r="GN196" s="230"/>
      <c r="GO196" s="230"/>
      <c r="GP196" s="230"/>
      <c r="GQ196" s="230"/>
      <c r="GR196" s="230"/>
      <c r="GS196" s="230"/>
      <c r="GT196" s="230"/>
      <c r="GU196" s="230"/>
      <c r="GV196" s="230"/>
      <c r="GW196" s="230"/>
      <c r="GX196" s="230"/>
      <c r="GY196" s="230"/>
      <c r="GZ196" s="230"/>
      <c r="HA196" s="230"/>
      <c r="HB196" s="230"/>
      <c r="HC196" s="230"/>
      <c r="HD196" s="230"/>
      <c r="HE196" s="230"/>
      <c r="HF196" s="230"/>
      <c r="HG196" s="230"/>
      <c r="HH196" s="230"/>
      <c r="HI196" s="230"/>
      <c r="HJ196" s="230"/>
      <c r="HK196" s="230"/>
      <c r="HL196" s="230"/>
      <c r="HM196" s="230"/>
      <c r="HN196" s="230"/>
      <c r="HO196" s="230"/>
      <c r="HP196" s="230"/>
      <c r="HQ196" s="230"/>
      <c r="HR196" s="230"/>
      <c r="HS196" s="230"/>
      <c r="HT196" s="230"/>
      <c r="HU196" s="230"/>
      <c r="HV196" s="230"/>
      <c r="HW196" s="230"/>
      <c r="HX196" s="230"/>
      <c r="HY196" s="230"/>
      <c r="HZ196" s="230"/>
      <c r="IA196" s="230"/>
      <c r="IB196" s="230"/>
      <c r="IC196" s="230"/>
      <c r="ID196" s="230"/>
      <c r="IE196" s="230"/>
      <c r="IF196" s="230"/>
      <c r="IG196" s="230"/>
      <c r="IH196" s="230"/>
      <c r="II196" s="230"/>
      <c r="IJ196" s="230"/>
      <c r="IK196" s="230"/>
      <c r="IL196" s="230"/>
      <c r="IM196" s="230"/>
      <c r="IN196" s="230"/>
      <c r="IO196" s="230"/>
      <c r="IP196" s="230"/>
      <c r="IQ196" s="230"/>
      <c r="IR196" s="230"/>
      <c r="IS196" s="230"/>
      <c r="IT196" s="230"/>
    </row>
    <row r="197" spans="1:254">
      <c r="A197" s="181" t="s">
        <v>724</v>
      </c>
      <c r="B197" s="194">
        <f>7751.39*1.5</f>
        <v>11627.085000000001</v>
      </c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79"/>
      <c r="BF197" s="179"/>
      <c r="BG197" s="179"/>
      <c r="BH197" s="179"/>
      <c r="BI197" s="179"/>
      <c r="BJ197" s="179"/>
      <c r="BK197" s="179"/>
      <c r="BL197" s="179"/>
      <c r="BM197" s="179"/>
      <c r="BN197" s="179"/>
      <c r="BO197" s="179"/>
      <c r="BP197" s="179"/>
      <c r="BQ197" s="179"/>
      <c r="BR197" s="179"/>
      <c r="BS197" s="179"/>
      <c r="BT197" s="179"/>
      <c r="BU197" s="179"/>
      <c r="BV197" s="179"/>
      <c r="BW197" s="179"/>
      <c r="BX197" s="179"/>
      <c r="BY197" s="179"/>
      <c r="BZ197" s="179"/>
      <c r="CA197" s="179"/>
      <c r="CB197" s="179"/>
      <c r="CC197" s="179"/>
      <c r="CD197" s="179"/>
      <c r="CE197" s="179"/>
      <c r="CF197" s="179"/>
      <c r="CG197" s="179"/>
      <c r="CH197" s="179"/>
      <c r="CI197" s="179"/>
      <c r="CJ197" s="179"/>
      <c r="CK197" s="179"/>
      <c r="CL197" s="179"/>
      <c r="CM197" s="179"/>
      <c r="CN197" s="179"/>
      <c r="CO197" s="179"/>
      <c r="CP197" s="179"/>
      <c r="CQ197" s="179"/>
      <c r="CR197" s="179"/>
      <c r="CS197" s="179"/>
      <c r="CT197" s="179"/>
      <c r="CU197" s="179"/>
      <c r="CV197" s="179"/>
      <c r="CW197" s="179"/>
      <c r="CX197" s="179"/>
      <c r="CY197" s="179"/>
      <c r="CZ197" s="179"/>
      <c r="DA197" s="179"/>
      <c r="DB197" s="179"/>
      <c r="DC197" s="179"/>
      <c r="DD197" s="179"/>
      <c r="DE197" s="179"/>
      <c r="DF197" s="179"/>
      <c r="DG197" s="179"/>
      <c r="DH197" s="179"/>
      <c r="DI197" s="179"/>
      <c r="DJ197" s="179"/>
      <c r="DK197" s="179"/>
      <c r="DL197" s="179"/>
      <c r="DM197" s="179"/>
      <c r="DN197" s="179"/>
      <c r="DO197" s="179"/>
      <c r="DP197" s="179"/>
      <c r="DQ197" s="179"/>
      <c r="DR197" s="179"/>
      <c r="DS197" s="179"/>
      <c r="DT197" s="179"/>
      <c r="DU197" s="179"/>
      <c r="DV197" s="179"/>
      <c r="DW197" s="179"/>
      <c r="DX197" s="179"/>
      <c r="DY197" s="179"/>
      <c r="DZ197" s="179"/>
      <c r="EA197" s="179"/>
      <c r="EB197" s="179"/>
      <c r="EC197" s="179"/>
      <c r="ED197" s="179"/>
      <c r="EE197" s="179"/>
      <c r="EF197" s="179"/>
      <c r="EG197" s="179"/>
      <c r="EH197" s="179"/>
      <c r="EI197" s="179"/>
      <c r="EJ197" s="179"/>
      <c r="EK197" s="179"/>
      <c r="EL197" s="179"/>
      <c r="EM197" s="179"/>
      <c r="EN197" s="179"/>
      <c r="EO197" s="179"/>
      <c r="EP197" s="179"/>
      <c r="EQ197" s="179"/>
      <c r="ER197" s="179"/>
      <c r="ES197" s="179"/>
      <c r="ET197" s="179"/>
      <c r="EU197" s="179"/>
      <c r="EV197" s="179"/>
      <c r="EW197" s="179"/>
      <c r="EX197" s="179"/>
      <c r="EY197" s="179"/>
      <c r="EZ197" s="179"/>
      <c r="FA197" s="179"/>
      <c r="FB197" s="179"/>
      <c r="FC197" s="179"/>
      <c r="FD197" s="179"/>
      <c r="FE197" s="179"/>
      <c r="FF197" s="179"/>
      <c r="FG197" s="179"/>
      <c r="FH197" s="179"/>
      <c r="FI197" s="179"/>
      <c r="FJ197" s="179"/>
      <c r="FK197" s="179"/>
      <c r="FL197" s="179"/>
      <c r="FM197" s="179"/>
      <c r="FN197" s="179"/>
      <c r="FO197" s="179"/>
      <c r="FP197" s="179"/>
      <c r="FQ197" s="179"/>
      <c r="FR197" s="179"/>
      <c r="FS197" s="179"/>
      <c r="FT197" s="179"/>
      <c r="FU197" s="179"/>
      <c r="FV197" s="179"/>
      <c r="FW197" s="179"/>
      <c r="FX197" s="179"/>
      <c r="FY197" s="179"/>
      <c r="FZ197" s="179"/>
      <c r="GA197" s="179"/>
      <c r="GB197" s="179"/>
      <c r="GC197" s="179"/>
      <c r="GD197" s="179"/>
      <c r="GE197" s="179"/>
      <c r="GF197" s="179"/>
      <c r="GG197" s="179"/>
      <c r="GH197" s="179"/>
      <c r="GI197" s="179"/>
      <c r="GJ197" s="179"/>
      <c r="GK197" s="179"/>
      <c r="GL197" s="179"/>
      <c r="GM197" s="179"/>
      <c r="GN197" s="179"/>
      <c r="GO197" s="179"/>
      <c r="GP197" s="179"/>
      <c r="GQ197" s="179"/>
      <c r="GR197" s="179"/>
      <c r="GS197" s="179"/>
      <c r="GT197" s="179"/>
      <c r="GU197" s="179"/>
      <c r="GV197" s="179"/>
      <c r="GW197" s="179"/>
      <c r="GX197" s="179"/>
      <c r="GY197" s="179"/>
      <c r="GZ197" s="179"/>
      <c r="HA197" s="179"/>
      <c r="HB197" s="179"/>
      <c r="HC197" s="179"/>
      <c r="HD197" s="179"/>
      <c r="HE197" s="179"/>
      <c r="HF197" s="179"/>
      <c r="HG197" s="179"/>
      <c r="HH197" s="179"/>
      <c r="HI197" s="179"/>
      <c r="HJ197" s="179"/>
      <c r="HK197" s="179"/>
      <c r="HL197" s="179"/>
      <c r="HM197" s="179"/>
      <c r="HN197" s="179"/>
      <c r="HO197" s="179"/>
      <c r="HP197" s="179"/>
      <c r="HQ197" s="179"/>
      <c r="HR197" s="179"/>
      <c r="HS197" s="179"/>
      <c r="HT197" s="179"/>
      <c r="HU197" s="179"/>
      <c r="HV197" s="179"/>
      <c r="HW197" s="179"/>
      <c r="HX197" s="179"/>
      <c r="HY197" s="179"/>
      <c r="HZ197" s="179"/>
      <c r="IA197" s="179"/>
      <c r="IB197" s="179"/>
      <c r="IC197" s="179"/>
      <c r="ID197" s="179"/>
      <c r="IE197" s="179"/>
      <c r="IF197" s="179"/>
      <c r="IG197" s="179"/>
      <c r="IH197" s="179"/>
      <c r="II197" s="179"/>
      <c r="IJ197" s="179"/>
      <c r="IK197" s="179"/>
      <c r="IL197" s="179"/>
      <c r="IM197" s="179"/>
      <c r="IN197" s="179"/>
      <c r="IO197" s="179"/>
      <c r="IP197" s="179"/>
      <c r="IQ197" s="179"/>
      <c r="IR197" s="179"/>
      <c r="IS197" s="179"/>
      <c r="IT197" s="179"/>
    </row>
    <row r="198" spans="1:254">
      <c r="A198" s="181" t="s">
        <v>3819</v>
      </c>
      <c r="B198" s="194">
        <f>2300*12</f>
        <v>27600</v>
      </c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179"/>
      <c r="AT198" s="179"/>
      <c r="AU198" s="179"/>
      <c r="AV198" s="179"/>
      <c r="AW198" s="179"/>
      <c r="AX198" s="179"/>
      <c r="AY198" s="179"/>
      <c r="AZ198" s="179"/>
      <c r="BA198" s="179"/>
      <c r="BB198" s="179"/>
      <c r="BC198" s="179"/>
      <c r="BD198" s="179"/>
      <c r="BE198" s="179"/>
      <c r="BF198" s="179"/>
      <c r="BG198" s="179"/>
      <c r="BH198" s="179"/>
      <c r="BI198" s="179"/>
      <c r="BJ198" s="179"/>
      <c r="BK198" s="179"/>
      <c r="BL198" s="179"/>
      <c r="BM198" s="179"/>
      <c r="BN198" s="179"/>
      <c r="BO198" s="179"/>
      <c r="BP198" s="179"/>
      <c r="BQ198" s="179"/>
      <c r="BR198" s="179"/>
      <c r="BS198" s="179"/>
      <c r="BT198" s="179"/>
      <c r="BU198" s="179"/>
      <c r="BV198" s="179"/>
      <c r="BW198" s="179"/>
      <c r="BX198" s="179"/>
      <c r="BY198" s="179"/>
      <c r="BZ198" s="179"/>
      <c r="CA198" s="179"/>
      <c r="CB198" s="179"/>
      <c r="CC198" s="179"/>
      <c r="CD198" s="179"/>
      <c r="CE198" s="179"/>
      <c r="CF198" s="179"/>
      <c r="CG198" s="179"/>
      <c r="CH198" s="179"/>
      <c r="CI198" s="179"/>
      <c r="CJ198" s="179"/>
      <c r="CK198" s="179"/>
      <c r="CL198" s="179"/>
      <c r="CM198" s="179"/>
      <c r="CN198" s="179"/>
      <c r="CO198" s="179"/>
      <c r="CP198" s="179"/>
      <c r="CQ198" s="179"/>
      <c r="CR198" s="179"/>
      <c r="CS198" s="179"/>
      <c r="CT198" s="179"/>
      <c r="CU198" s="179"/>
      <c r="CV198" s="179"/>
      <c r="CW198" s="179"/>
      <c r="CX198" s="179"/>
      <c r="CY198" s="179"/>
      <c r="CZ198" s="179"/>
      <c r="DA198" s="179"/>
      <c r="DB198" s="179"/>
      <c r="DC198" s="179"/>
      <c r="DD198" s="179"/>
      <c r="DE198" s="179"/>
      <c r="DF198" s="179"/>
      <c r="DG198" s="179"/>
      <c r="DH198" s="179"/>
      <c r="DI198" s="179"/>
      <c r="DJ198" s="179"/>
      <c r="DK198" s="179"/>
      <c r="DL198" s="179"/>
      <c r="DM198" s="179"/>
      <c r="DN198" s="179"/>
      <c r="DO198" s="179"/>
      <c r="DP198" s="179"/>
      <c r="DQ198" s="179"/>
      <c r="DR198" s="179"/>
      <c r="DS198" s="179"/>
      <c r="DT198" s="179"/>
      <c r="DU198" s="179"/>
      <c r="DV198" s="179"/>
      <c r="DW198" s="179"/>
      <c r="DX198" s="179"/>
      <c r="DY198" s="179"/>
      <c r="DZ198" s="179"/>
      <c r="EA198" s="179"/>
      <c r="EB198" s="179"/>
      <c r="EC198" s="179"/>
      <c r="ED198" s="179"/>
      <c r="EE198" s="179"/>
      <c r="EF198" s="179"/>
      <c r="EG198" s="179"/>
      <c r="EH198" s="179"/>
      <c r="EI198" s="179"/>
      <c r="EJ198" s="179"/>
      <c r="EK198" s="179"/>
      <c r="EL198" s="179"/>
      <c r="EM198" s="179"/>
      <c r="EN198" s="179"/>
      <c r="EO198" s="179"/>
      <c r="EP198" s="179"/>
      <c r="EQ198" s="179"/>
      <c r="ER198" s="179"/>
      <c r="ES198" s="179"/>
      <c r="ET198" s="179"/>
      <c r="EU198" s="179"/>
      <c r="EV198" s="179"/>
      <c r="EW198" s="179"/>
      <c r="EX198" s="179"/>
      <c r="EY198" s="179"/>
      <c r="EZ198" s="179"/>
      <c r="FA198" s="179"/>
      <c r="FB198" s="179"/>
      <c r="FC198" s="179"/>
      <c r="FD198" s="179"/>
      <c r="FE198" s="179"/>
      <c r="FF198" s="179"/>
      <c r="FG198" s="179"/>
      <c r="FH198" s="179"/>
      <c r="FI198" s="179"/>
      <c r="FJ198" s="179"/>
      <c r="FK198" s="179"/>
      <c r="FL198" s="179"/>
      <c r="FM198" s="179"/>
      <c r="FN198" s="179"/>
      <c r="FO198" s="179"/>
      <c r="FP198" s="179"/>
      <c r="FQ198" s="179"/>
      <c r="FR198" s="179"/>
      <c r="FS198" s="179"/>
      <c r="FT198" s="179"/>
      <c r="FU198" s="179"/>
      <c r="FV198" s="179"/>
      <c r="FW198" s="179"/>
      <c r="FX198" s="179"/>
      <c r="FY198" s="179"/>
      <c r="FZ198" s="179"/>
      <c r="GA198" s="179"/>
      <c r="GB198" s="179"/>
      <c r="GC198" s="179"/>
      <c r="GD198" s="179"/>
      <c r="GE198" s="179"/>
      <c r="GF198" s="179"/>
      <c r="GG198" s="179"/>
      <c r="GH198" s="179"/>
      <c r="GI198" s="179"/>
      <c r="GJ198" s="179"/>
      <c r="GK198" s="179"/>
      <c r="GL198" s="179"/>
      <c r="GM198" s="179"/>
      <c r="GN198" s="179"/>
      <c r="GO198" s="179"/>
      <c r="GP198" s="179"/>
      <c r="GQ198" s="179"/>
      <c r="GR198" s="179"/>
      <c r="GS198" s="179"/>
      <c r="GT198" s="179"/>
      <c r="GU198" s="179"/>
      <c r="GV198" s="179"/>
      <c r="GW198" s="179"/>
      <c r="GX198" s="179"/>
      <c r="GY198" s="179"/>
      <c r="GZ198" s="179"/>
      <c r="HA198" s="179"/>
      <c r="HB198" s="179"/>
      <c r="HC198" s="179"/>
      <c r="HD198" s="179"/>
      <c r="HE198" s="179"/>
      <c r="HF198" s="179"/>
      <c r="HG198" s="179"/>
      <c r="HH198" s="179"/>
      <c r="HI198" s="179"/>
      <c r="HJ198" s="179"/>
      <c r="HK198" s="179"/>
      <c r="HL198" s="179"/>
      <c r="HM198" s="179"/>
      <c r="HN198" s="179"/>
      <c r="HO198" s="179"/>
      <c r="HP198" s="179"/>
      <c r="HQ198" s="179"/>
      <c r="HR198" s="179"/>
      <c r="HS198" s="179"/>
      <c r="HT198" s="179"/>
      <c r="HU198" s="179"/>
      <c r="HV198" s="179"/>
      <c r="HW198" s="179"/>
      <c r="HX198" s="179"/>
      <c r="HY198" s="179"/>
      <c r="HZ198" s="179"/>
      <c r="IA198" s="179"/>
      <c r="IB198" s="179"/>
      <c r="IC198" s="179"/>
      <c r="ID198" s="179"/>
      <c r="IE198" s="179"/>
      <c r="IF198" s="179"/>
      <c r="IG198" s="179"/>
      <c r="IH198" s="179"/>
      <c r="II198" s="179"/>
      <c r="IJ198" s="179"/>
      <c r="IK198" s="179"/>
      <c r="IL198" s="179"/>
      <c r="IM198" s="179"/>
      <c r="IN198" s="179"/>
      <c r="IO198" s="179"/>
      <c r="IP198" s="179"/>
      <c r="IQ198" s="179"/>
      <c r="IR198" s="179"/>
      <c r="IS198" s="179"/>
      <c r="IT198" s="179"/>
    </row>
    <row r="199" spans="1:254">
      <c r="A199" s="181" t="s">
        <v>3820</v>
      </c>
      <c r="B199" s="194">
        <v>346304.54</v>
      </c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79"/>
      <c r="BD199" s="179"/>
      <c r="BE199" s="179"/>
      <c r="BF199" s="179"/>
      <c r="BG199" s="179"/>
      <c r="BH199" s="179"/>
      <c r="BI199" s="179"/>
      <c r="BJ199" s="179"/>
      <c r="BK199" s="179"/>
      <c r="BL199" s="179"/>
      <c r="BM199" s="179"/>
      <c r="BN199" s="179"/>
      <c r="BO199" s="179"/>
      <c r="BP199" s="179"/>
      <c r="BQ199" s="179"/>
      <c r="BR199" s="179"/>
      <c r="BS199" s="179"/>
      <c r="BT199" s="179"/>
      <c r="BU199" s="179"/>
      <c r="BV199" s="179"/>
      <c r="BW199" s="179"/>
      <c r="BX199" s="179"/>
      <c r="BY199" s="179"/>
      <c r="BZ199" s="179"/>
      <c r="CA199" s="179"/>
      <c r="CB199" s="179"/>
      <c r="CC199" s="179"/>
      <c r="CD199" s="179"/>
      <c r="CE199" s="179"/>
      <c r="CF199" s="179"/>
      <c r="CG199" s="179"/>
      <c r="CH199" s="179"/>
      <c r="CI199" s="179"/>
      <c r="CJ199" s="179"/>
      <c r="CK199" s="179"/>
      <c r="CL199" s="179"/>
      <c r="CM199" s="179"/>
      <c r="CN199" s="179"/>
      <c r="CO199" s="179"/>
      <c r="CP199" s="179"/>
      <c r="CQ199" s="179"/>
      <c r="CR199" s="179"/>
      <c r="CS199" s="179"/>
      <c r="CT199" s="179"/>
      <c r="CU199" s="179"/>
      <c r="CV199" s="179"/>
      <c r="CW199" s="179"/>
      <c r="CX199" s="179"/>
      <c r="CY199" s="179"/>
      <c r="CZ199" s="179"/>
      <c r="DA199" s="179"/>
      <c r="DB199" s="179"/>
      <c r="DC199" s="179"/>
      <c r="DD199" s="179"/>
      <c r="DE199" s="179"/>
      <c r="DF199" s="179"/>
      <c r="DG199" s="179"/>
      <c r="DH199" s="179"/>
      <c r="DI199" s="179"/>
      <c r="DJ199" s="179"/>
      <c r="DK199" s="179"/>
      <c r="DL199" s="179"/>
      <c r="DM199" s="179"/>
      <c r="DN199" s="179"/>
      <c r="DO199" s="179"/>
      <c r="DP199" s="179"/>
      <c r="DQ199" s="179"/>
      <c r="DR199" s="179"/>
      <c r="DS199" s="179"/>
      <c r="DT199" s="179"/>
      <c r="DU199" s="179"/>
      <c r="DV199" s="179"/>
      <c r="DW199" s="179"/>
      <c r="DX199" s="179"/>
      <c r="DY199" s="179"/>
      <c r="DZ199" s="179"/>
      <c r="EA199" s="179"/>
      <c r="EB199" s="179"/>
      <c r="EC199" s="179"/>
      <c r="ED199" s="179"/>
      <c r="EE199" s="179"/>
      <c r="EF199" s="179"/>
      <c r="EG199" s="179"/>
      <c r="EH199" s="179"/>
      <c r="EI199" s="179"/>
      <c r="EJ199" s="179"/>
      <c r="EK199" s="179"/>
      <c r="EL199" s="179"/>
      <c r="EM199" s="179"/>
      <c r="EN199" s="179"/>
      <c r="EO199" s="179"/>
      <c r="EP199" s="179"/>
      <c r="EQ199" s="179"/>
      <c r="ER199" s="179"/>
      <c r="ES199" s="179"/>
      <c r="ET199" s="179"/>
      <c r="EU199" s="179"/>
      <c r="EV199" s="179"/>
      <c r="EW199" s="179"/>
      <c r="EX199" s="179"/>
      <c r="EY199" s="179"/>
      <c r="EZ199" s="179"/>
      <c r="FA199" s="179"/>
      <c r="FB199" s="179"/>
      <c r="FC199" s="179"/>
      <c r="FD199" s="179"/>
      <c r="FE199" s="179"/>
      <c r="FF199" s="179"/>
      <c r="FG199" s="179"/>
      <c r="FH199" s="179"/>
      <c r="FI199" s="179"/>
      <c r="FJ199" s="179"/>
      <c r="FK199" s="179"/>
      <c r="FL199" s="179"/>
      <c r="FM199" s="179"/>
      <c r="FN199" s="179"/>
      <c r="FO199" s="179"/>
      <c r="FP199" s="179"/>
      <c r="FQ199" s="179"/>
      <c r="FR199" s="179"/>
      <c r="FS199" s="179"/>
      <c r="FT199" s="179"/>
      <c r="FU199" s="179"/>
      <c r="FV199" s="179"/>
      <c r="FW199" s="179"/>
      <c r="FX199" s="179"/>
      <c r="FY199" s="179"/>
      <c r="FZ199" s="179"/>
      <c r="GA199" s="179"/>
      <c r="GB199" s="179"/>
      <c r="GC199" s="179"/>
      <c r="GD199" s="179"/>
      <c r="GE199" s="179"/>
      <c r="GF199" s="179"/>
      <c r="GG199" s="179"/>
      <c r="GH199" s="179"/>
      <c r="GI199" s="179"/>
      <c r="GJ199" s="179"/>
      <c r="GK199" s="179"/>
      <c r="GL199" s="179"/>
      <c r="GM199" s="179"/>
      <c r="GN199" s="179"/>
      <c r="GO199" s="179"/>
      <c r="GP199" s="179"/>
      <c r="GQ199" s="179"/>
      <c r="GR199" s="179"/>
      <c r="GS199" s="179"/>
      <c r="GT199" s="179"/>
      <c r="GU199" s="179"/>
      <c r="GV199" s="179"/>
      <c r="GW199" s="179"/>
      <c r="GX199" s="179"/>
      <c r="GY199" s="179"/>
      <c r="GZ199" s="179"/>
      <c r="HA199" s="179"/>
      <c r="HB199" s="179"/>
      <c r="HC199" s="179"/>
      <c r="HD199" s="179"/>
      <c r="HE199" s="179"/>
      <c r="HF199" s="179"/>
      <c r="HG199" s="179"/>
      <c r="HH199" s="179"/>
      <c r="HI199" s="179"/>
      <c r="HJ199" s="179"/>
      <c r="HK199" s="179"/>
      <c r="HL199" s="179"/>
      <c r="HM199" s="179"/>
      <c r="HN199" s="179"/>
      <c r="HO199" s="179"/>
      <c r="HP199" s="179"/>
      <c r="HQ199" s="179"/>
      <c r="HR199" s="179"/>
      <c r="HS199" s="179"/>
      <c r="HT199" s="179"/>
      <c r="HU199" s="179"/>
      <c r="HV199" s="179"/>
      <c r="HW199" s="179"/>
      <c r="HX199" s="179"/>
      <c r="HY199" s="179"/>
      <c r="HZ199" s="179"/>
      <c r="IA199" s="179"/>
      <c r="IB199" s="179"/>
      <c r="IC199" s="179"/>
      <c r="ID199" s="179"/>
      <c r="IE199" s="179"/>
      <c r="IF199" s="179"/>
      <c r="IG199" s="179"/>
      <c r="IH199" s="179"/>
      <c r="II199" s="179"/>
      <c r="IJ199" s="179"/>
      <c r="IK199" s="179"/>
      <c r="IL199" s="179"/>
      <c r="IM199" s="179"/>
      <c r="IN199" s="179"/>
      <c r="IO199" s="179"/>
      <c r="IP199" s="179"/>
      <c r="IQ199" s="179"/>
      <c r="IR199" s="179"/>
      <c r="IS199" s="179"/>
      <c r="IT199" s="179"/>
    </row>
    <row r="200" spans="1:254">
      <c r="A200" s="181" t="s">
        <v>1605</v>
      </c>
      <c r="B200" s="194">
        <f>B185-B187-B199</f>
        <v>-295624.31989792007</v>
      </c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179"/>
      <c r="AS200" s="179"/>
      <c r="AT200" s="179"/>
      <c r="AU200" s="179"/>
      <c r="AV200" s="179"/>
      <c r="AW200" s="179"/>
      <c r="AX200" s="179"/>
      <c r="AY200" s="179"/>
      <c r="AZ200" s="179"/>
      <c r="BA200" s="179"/>
      <c r="BB200" s="179"/>
      <c r="BC200" s="179"/>
      <c r="BD200" s="179"/>
      <c r="BE200" s="179"/>
      <c r="BF200" s="179"/>
      <c r="BG200" s="179"/>
      <c r="BH200" s="179"/>
      <c r="BI200" s="179"/>
      <c r="BJ200" s="179"/>
      <c r="BK200" s="179"/>
      <c r="BL200" s="179"/>
      <c r="BM200" s="179"/>
      <c r="BN200" s="179"/>
      <c r="BO200" s="179"/>
      <c r="BP200" s="179"/>
      <c r="BQ200" s="179"/>
      <c r="BR200" s="179"/>
      <c r="BS200" s="179"/>
      <c r="BT200" s="179"/>
      <c r="BU200" s="179"/>
      <c r="BV200" s="179"/>
      <c r="BW200" s="179"/>
      <c r="BX200" s="179"/>
      <c r="BY200" s="179"/>
      <c r="BZ200" s="179"/>
      <c r="CA200" s="179"/>
      <c r="CB200" s="179"/>
      <c r="CC200" s="179"/>
      <c r="CD200" s="179"/>
      <c r="CE200" s="179"/>
      <c r="CF200" s="179"/>
      <c r="CG200" s="179"/>
      <c r="CH200" s="179"/>
      <c r="CI200" s="179"/>
      <c r="CJ200" s="179"/>
      <c r="CK200" s="179"/>
      <c r="CL200" s="179"/>
      <c r="CM200" s="179"/>
      <c r="CN200" s="179"/>
      <c r="CO200" s="179"/>
      <c r="CP200" s="179"/>
      <c r="CQ200" s="179"/>
      <c r="CR200" s="179"/>
      <c r="CS200" s="179"/>
      <c r="CT200" s="179"/>
      <c r="CU200" s="179"/>
      <c r="CV200" s="179"/>
      <c r="CW200" s="179"/>
      <c r="CX200" s="179"/>
      <c r="CY200" s="179"/>
      <c r="CZ200" s="179"/>
      <c r="DA200" s="179"/>
      <c r="DB200" s="179"/>
      <c r="DC200" s="179"/>
      <c r="DD200" s="179"/>
      <c r="DE200" s="179"/>
      <c r="DF200" s="179"/>
      <c r="DG200" s="179"/>
      <c r="DH200" s="179"/>
      <c r="DI200" s="179"/>
      <c r="DJ200" s="179"/>
      <c r="DK200" s="179"/>
      <c r="DL200" s="179"/>
      <c r="DM200" s="179"/>
      <c r="DN200" s="179"/>
      <c r="DO200" s="179"/>
      <c r="DP200" s="179"/>
      <c r="DQ200" s="179"/>
      <c r="DR200" s="179"/>
      <c r="DS200" s="179"/>
      <c r="DT200" s="179"/>
      <c r="DU200" s="179"/>
      <c r="DV200" s="179"/>
      <c r="DW200" s="179"/>
      <c r="DX200" s="179"/>
      <c r="DY200" s="179"/>
      <c r="DZ200" s="179"/>
      <c r="EA200" s="179"/>
      <c r="EB200" s="179"/>
      <c r="EC200" s="179"/>
      <c r="ED200" s="179"/>
      <c r="EE200" s="179"/>
      <c r="EF200" s="179"/>
      <c r="EG200" s="179"/>
      <c r="EH200" s="179"/>
      <c r="EI200" s="179"/>
      <c r="EJ200" s="179"/>
      <c r="EK200" s="179"/>
      <c r="EL200" s="179"/>
      <c r="EM200" s="179"/>
      <c r="EN200" s="179"/>
      <c r="EO200" s="179"/>
      <c r="EP200" s="179"/>
      <c r="EQ200" s="179"/>
      <c r="ER200" s="179"/>
      <c r="ES200" s="179"/>
      <c r="ET200" s="179"/>
      <c r="EU200" s="179"/>
      <c r="EV200" s="179"/>
      <c r="EW200" s="179"/>
      <c r="EX200" s="179"/>
      <c r="EY200" s="179"/>
      <c r="EZ200" s="179"/>
      <c r="FA200" s="179"/>
      <c r="FB200" s="179"/>
      <c r="FC200" s="179"/>
      <c r="FD200" s="179"/>
      <c r="FE200" s="179"/>
      <c r="FF200" s="179"/>
      <c r="FG200" s="179"/>
      <c r="FH200" s="179"/>
      <c r="FI200" s="179"/>
      <c r="FJ200" s="179"/>
      <c r="FK200" s="179"/>
      <c r="FL200" s="179"/>
      <c r="FM200" s="179"/>
      <c r="FN200" s="179"/>
      <c r="FO200" s="179"/>
      <c r="FP200" s="179"/>
      <c r="FQ200" s="179"/>
      <c r="FR200" s="179"/>
      <c r="FS200" s="179"/>
      <c r="FT200" s="179"/>
      <c r="FU200" s="179"/>
      <c r="FV200" s="179"/>
      <c r="FW200" s="179"/>
      <c r="FX200" s="179"/>
      <c r="FY200" s="179"/>
      <c r="FZ200" s="179"/>
      <c r="GA200" s="179"/>
      <c r="GB200" s="179"/>
      <c r="GC200" s="179"/>
      <c r="GD200" s="179"/>
      <c r="GE200" s="179"/>
      <c r="GF200" s="179"/>
      <c r="GG200" s="179"/>
      <c r="GH200" s="179"/>
      <c r="GI200" s="179"/>
      <c r="GJ200" s="179"/>
      <c r="GK200" s="179"/>
      <c r="GL200" s="179"/>
      <c r="GM200" s="179"/>
      <c r="GN200" s="179"/>
      <c r="GO200" s="179"/>
      <c r="GP200" s="179"/>
      <c r="GQ200" s="179"/>
      <c r="GR200" s="179"/>
      <c r="GS200" s="179"/>
      <c r="GT200" s="179"/>
      <c r="GU200" s="179"/>
      <c r="GV200" s="179"/>
      <c r="GW200" s="179"/>
      <c r="GX200" s="179"/>
      <c r="GY200" s="179"/>
      <c r="GZ200" s="179"/>
      <c r="HA200" s="179"/>
      <c r="HB200" s="179"/>
      <c r="HC200" s="179"/>
      <c r="HD200" s="179"/>
      <c r="HE200" s="179"/>
      <c r="HF200" s="179"/>
      <c r="HG200" s="179"/>
      <c r="HH200" s="179"/>
      <c r="HI200" s="179"/>
      <c r="HJ200" s="179"/>
      <c r="HK200" s="179"/>
      <c r="HL200" s="179"/>
      <c r="HM200" s="179"/>
      <c r="HN200" s="179"/>
      <c r="HO200" s="179"/>
      <c r="HP200" s="179"/>
      <c r="HQ200" s="179"/>
      <c r="HR200" s="179"/>
      <c r="HS200" s="179"/>
      <c r="HT200" s="179"/>
      <c r="HU200" s="179"/>
      <c r="HV200" s="179"/>
      <c r="HW200" s="179"/>
      <c r="HX200" s="179"/>
      <c r="HY200" s="179"/>
      <c r="HZ200" s="179"/>
      <c r="IA200" s="179"/>
      <c r="IB200" s="179"/>
      <c r="IC200" s="179"/>
      <c r="ID200" s="179"/>
      <c r="IE200" s="179"/>
      <c r="IF200" s="179"/>
      <c r="IG200" s="179"/>
      <c r="IH200" s="179"/>
      <c r="II200" s="179"/>
      <c r="IJ200" s="179"/>
      <c r="IK200" s="179"/>
      <c r="IL200" s="179"/>
      <c r="IM200" s="179"/>
      <c r="IN200" s="179"/>
      <c r="IO200" s="179"/>
      <c r="IP200" s="179"/>
      <c r="IQ200" s="179"/>
      <c r="IR200" s="179"/>
      <c r="IS200" s="179"/>
      <c r="IT200" s="179"/>
    </row>
    <row r="201" spans="1:254">
      <c r="A201" s="179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79"/>
      <c r="AE201" s="179"/>
      <c r="AF201" s="179"/>
      <c r="AG201" s="179"/>
      <c r="AH201" s="179"/>
      <c r="AI201" s="179"/>
      <c r="AJ201" s="179"/>
      <c r="AK201" s="179"/>
      <c r="AL201" s="179"/>
      <c r="AM201" s="179"/>
      <c r="AN201" s="179"/>
      <c r="AO201" s="179"/>
      <c r="AP201" s="179"/>
      <c r="AQ201" s="179"/>
      <c r="AR201" s="179"/>
      <c r="AS201" s="179"/>
      <c r="AT201" s="179"/>
      <c r="AU201" s="179"/>
      <c r="AV201" s="179"/>
      <c r="AW201" s="179"/>
      <c r="AX201" s="179"/>
      <c r="AY201" s="179"/>
      <c r="AZ201" s="179"/>
      <c r="BA201" s="179"/>
      <c r="BB201" s="179"/>
      <c r="BC201" s="179"/>
      <c r="BD201" s="179"/>
      <c r="BE201" s="179"/>
      <c r="BF201" s="179"/>
      <c r="BG201" s="179"/>
      <c r="BH201" s="179"/>
      <c r="BI201" s="179"/>
      <c r="BJ201" s="179"/>
      <c r="BK201" s="179"/>
      <c r="BL201" s="179"/>
      <c r="BM201" s="179"/>
      <c r="BN201" s="179"/>
      <c r="BO201" s="179"/>
      <c r="BP201" s="179"/>
      <c r="BQ201" s="179"/>
      <c r="BR201" s="179"/>
      <c r="BS201" s="179"/>
      <c r="BT201" s="179"/>
      <c r="BU201" s="179"/>
      <c r="BV201" s="179"/>
      <c r="BW201" s="179"/>
      <c r="BX201" s="179"/>
      <c r="BY201" s="179"/>
      <c r="BZ201" s="179"/>
      <c r="CA201" s="179"/>
      <c r="CB201" s="179"/>
      <c r="CC201" s="179"/>
      <c r="CD201" s="179"/>
      <c r="CE201" s="179"/>
      <c r="CF201" s="179"/>
      <c r="CG201" s="179"/>
      <c r="CH201" s="179"/>
      <c r="CI201" s="179"/>
      <c r="CJ201" s="179"/>
      <c r="CK201" s="179"/>
      <c r="CL201" s="179"/>
      <c r="CM201" s="179"/>
      <c r="CN201" s="179"/>
      <c r="CO201" s="179"/>
      <c r="CP201" s="179"/>
      <c r="CQ201" s="179"/>
      <c r="CR201" s="179"/>
      <c r="CS201" s="179"/>
      <c r="CT201" s="179"/>
      <c r="CU201" s="179"/>
      <c r="CV201" s="179"/>
      <c r="CW201" s="179"/>
      <c r="CX201" s="179"/>
      <c r="CY201" s="179"/>
      <c r="CZ201" s="179"/>
      <c r="DA201" s="179"/>
      <c r="DB201" s="179"/>
      <c r="DC201" s="179"/>
      <c r="DD201" s="179"/>
      <c r="DE201" s="179"/>
      <c r="DF201" s="179"/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79"/>
      <c r="FQ201" s="179"/>
      <c r="FR201" s="179"/>
      <c r="FS201" s="179"/>
      <c r="FT201" s="179"/>
      <c r="FU201" s="179"/>
      <c r="FV201" s="179"/>
      <c r="FW201" s="179"/>
      <c r="FX201" s="179"/>
      <c r="FY201" s="179"/>
      <c r="FZ201" s="179"/>
      <c r="GA201" s="179"/>
      <c r="GB201" s="179"/>
      <c r="GC201" s="179"/>
      <c r="GD201" s="179"/>
      <c r="GE201" s="179"/>
      <c r="GF201" s="179"/>
      <c r="GG201" s="179"/>
      <c r="GH201" s="179"/>
      <c r="GI201" s="179"/>
      <c r="GJ201" s="179"/>
      <c r="GK201" s="179"/>
      <c r="GL201" s="179"/>
      <c r="GM201" s="179"/>
      <c r="GN201" s="179"/>
      <c r="GO201" s="179"/>
      <c r="GP201" s="179"/>
      <c r="GQ201" s="179"/>
      <c r="GR201" s="179"/>
      <c r="GS201" s="179"/>
      <c r="GT201" s="179"/>
      <c r="GU201" s="179"/>
      <c r="GV201" s="179"/>
      <c r="GW201" s="179"/>
      <c r="GX201" s="179"/>
      <c r="GY201" s="179"/>
      <c r="GZ201" s="179"/>
      <c r="HA201" s="179"/>
      <c r="HB201" s="179"/>
      <c r="HC201" s="179"/>
      <c r="HD201" s="179"/>
      <c r="HE201" s="179"/>
      <c r="HF201" s="179"/>
      <c r="HG201" s="179"/>
      <c r="HH201" s="179"/>
      <c r="HI201" s="179"/>
      <c r="HJ201" s="179"/>
      <c r="HK201" s="179"/>
      <c r="HL201" s="179"/>
      <c r="HM201" s="179"/>
      <c r="HN201" s="179"/>
      <c r="HO201" s="179"/>
      <c r="HP201" s="179"/>
      <c r="HQ201" s="179"/>
      <c r="HR201" s="179"/>
      <c r="HS201" s="179"/>
      <c r="HT201" s="179"/>
      <c r="HU201" s="179"/>
      <c r="HV201" s="179"/>
      <c r="HW201" s="179"/>
      <c r="HX201" s="179"/>
      <c r="HY201" s="179"/>
      <c r="HZ201" s="179"/>
      <c r="IA201" s="179"/>
      <c r="IB201" s="179"/>
      <c r="IC201" s="179"/>
      <c r="ID201" s="179"/>
      <c r="IE201" s="179"/>
      <c r="IF201" s="179"/>
      <c r="IG201" s="179"/>
      <c r="IH201" s="179"/>
      <c r="II201" s="179"/>
      <c r="IJ201" s="179"/>
      <c r="IK201" s="179"/>
      <c r="IL201" s="179"/>
      <c r="IM201" s="179"/>
      <c r="IN201" s="179"/>
      <c r="IO201" s="179"/>
      <c r="IP201" s="179"/>
      <c r="IQ201" s="179"/>
      <c r="IR201" s="179"/>
      <c r="IS201" s="179"/>
      <c r="IT201" s="179"/>
    </row>
    <row r="202" spans="1:254">
      <c r="A202" s="185" t="s">
        <v>605</v>
      </c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79"/>
      <c r="AQ202" s="179"/>
      <c r="AR202" s="179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  <c r="BK202" s="179"/>
      <c r="BL202" s="179"/>
      <c r="BM202" s="179"/>
      <c r="BN202" s="179"/>
      <c r="BO202" s="179"/>
      <c r="BP202" s="179"/>
      <c r="BQ202" s="179"/>
      <c r="BR202" s="179"/>
      <c r="BS202" s="179"/>
      <c r="BT202" s="179"/>
      <c r="BU202" s="179"/>
      <c r="BV202" s="179"/>
      <c r="BW202" s="179"/>
      <c r="BX202" s="179"/>
      <c r="BY202" s="179"/>
      <c r="BZ202" s="179"/>
      <c r="CA202" s="179"/>
      <c r="CB202" s="179"/>
      <c r="CC202" s="179"/>
      <c r="CD202" s="179"/>
      <c r="CE202" s="179"/>
      <c r="CF202" s="179"/>
      <c r="CG202" s="179"/>
      <c r="CH202" s="179"/>
      <c r="CI202" s="179"/>
      <c r="CJ202" s="179"/>
      <c r="CK202" s="179"/>
      <c r="CL202" s="179"/>
      <c r="CM202" s="179"/>
      <c r="CN202" s="179"/>
      <c r="CO202" s="179"/>
      <c r="CP202" s="179"/>
      <c r="CQ202" s="179"/>
      <c r="CR202" s="179"/>
      <c r="CS202" s="179"/>
      <c r="CT202" s="179"/>
      <c r="CU202" s="179"/>
      <c r="CV202" s="179"/>
      <c r="CW202" s="179"/>
      <c r="CX202" s="179"/>
      <c r="CY202" s="179"/>
      <c r="CZ202" s="179"/>
      <c r="DA202" s="179"/>
      <c r="DB202" s="179"/>
      <c r="DC202" s="179"/>
      <c r="DD202" s="179"/>
      <c r="DE202" s="179"/>
      <c r="DF202" s="179"/>
      <c r="DG202" s="179"/>
      <c r="DH202" s="179"/>
      <c r="DI202" s="179"/>
      <c r="DJ202" s="179"/>
      <c r="DK202" s="179"/>
      <c r="DL202" s="179"/>
      <c r="DM202" s="179"/>
      <c r="DN202" s="179"/>
      <c r="DO202" s="179"/>
      <c r="DP202" s="179"/>
      <c r="DQ202" s="179"/>
      <c r="DR202" s="179"/>
      <c r="DS202" s="179"/>
      <c r="DT202" s="179"/>
      <c r="DU202" s="179"/>
      <c r="DV202" s="179"/>
      <c r="DW202" s="179"/>
      <c r="DX202" s="179"/>
      <c r="DY202" s="179"/>
      <c r="DZ202" s="179"/>
      <c r="EA202" s="179"/>
      <c r="EB202" s="179"/>
      <c r="EC202" s="179"/>
      <c r="ED202" s="179"/>
      <c r="EE202" s="179"/>
      <c r="EF202" s="179"/>
      <c r="EG202" s="179"/>
      <c r="EH202" s="179"/>
      <c r="EI202" s="179"/>
      <c r="EJ202" s="179"/>
      <c r="EK202" s="179"/>
      <c r="EL202" s="179"/>
      <c r="EM202" s="179"/>
      <c r="EN202" s="179"/>
      <c r="EO202" s="179"/>
      <c r="EP202" s="179"/>
      <c r="EQ202" s="179"/>
      <c r="ER202" s="179"/>
      <c r="ES202" s="179"/>
      <c r="ET202" s="179"/>
      <c r="EU202" s="179"/>
      <c r="EV202" s="179"/>
      <c r="EW202" s="179"/>
      <c r="EX202" s="179"/>
      <c r="EY202" s="179"/>
      <c r="EZ202" s="179"/>
      <c r="FA202" s="179"/>
      <c r="FB202" s="179"/>
      <c r="FC202" s="179"/>
      <c r="FD202" s="179"/>
      <c r="FE202" s="179"/>
      <c r="FF202" s="179"/>
      <c r="FG202" s="179"/>
      <c r="FH202" s="179"/>
      <c r="FI202" s="179"/>
      <c r="FJ202" s="179"/>
      <c r="FK202" s="179"/>
      <c r="FL202" s="179"/>
      <c r="FM202" s="179"/>
      <c r="FN202" s="179"/>
      <c r="FO202" s="179"/>
      <c r="FP202" s="179"/>
      <c r="FQ202" s="179"/>
      <c r="FR202" s="179"/>
      <c r="FS202" s="179"/>
      <c r="FT202" s="179"/>
      <c r="FU202" s="179"/>
      <c r="FV202" s="179"/>
      <c r="FW202" s="179"/>
      <c r="FX202" s="179"/>
      <c r="FY202" s="179"/>
      <c r="FZ202" s="179"/>
      <c r="GA202" s="179"/>
      <c r="GB202" s="179"/>
      <c r="GC202" s="179"/>
      <c r="GD202" s="179"/>
      <c r="GE202" s="179"/>
      <c r="GF202" s="179"/>
      <c r="GG202" s="179"/>
      <c r="GH202" s="179"/>
      <c r="GI202" s="179"/>
      <c r="GJ202" s="179"/>
      <c r="GK202" s="179"/>
      <c r="GL202" s="179"/>
      <c r="GM202" s="179"/>
      <c r="GN202" s="179"/>
      <c r="GO202" s="179"/>
      <c r="GP202" s="179"/>
      <c r="GQ202" s="179"/>
      <c r="GR202" s="179"/>
      <c r="GS202" s="179"/>
      <c r="GT202" s="179"/>
      <c r="GU202" s="179"/>
      <c r="GV202" s="179"/>
      <c r="GW202" s="179"/>
      <c r="GX202" s="179"/>
      <c r="GY202" s="179"/>
      <c r="GZ202" s="179"/>
      <c r="HA202" s="179"/>
      <c r="HB202" s="179"/>
      <c r="HC202" s="179"/>
      <c r="HD202" s="179"/>
      <c r="HE202" s="179"/>
      <c r="HF202" s="179"/>
      <c r="HG202" s="179"/>
      <c r="HH202" s="179"/>
      <c r="HI202" s="179"/>
      <c r="HJ202" s="179"/>
      <c r="HK202" s="179"/>
      <c r="HL202" s="179"/>
      <c r="HM202" s="179"/>
      <c r="HN202" s="179"/>
      <c r="HO202" s="179"/>
      <c r="HP202" s="179"/>
      <c r="HQ202" s="179"/>
      <c r="HR202" s="179"/>
      <c r="HS202" s="179"/>
      <c r="HT202" s="179"/>
      <c r="HU202" s="179"/>
      <c r="HV202" s="179"/>
      <c r="HW202" s="179"/>
      <c r="HX202" s="179"/>
      <c r="HY202" s="179"/>
      <c r="HZ202" s="179"/>
      <c r="IA202" s="179"/>
      <c r="IB202" s="179"/>
      <c r="IC202" s="179"/>
      <c r="ID202" s="179"/>
      <c r="IE202" s="179"/>
      <c r="IF202" s="179"/>
      <c r="IG202" s="179"/>
      <c r="IH202" s="179"/>
      <c r="II202" s="179"/>
      <c r="IJ202" s="179"/>
      <c r="IK202" s="179"/>
      <c r="IL202" s="179"/>
      <c r="IM202" s="179"/>
      <c r="IN202" s="179"/>
      <c r="IO202" s="179"/>
      <c r="IP202" s="179"/>
      <c r="IQ202" s="179"/>
      <c r="IR202" s="179"/>
      <c r="IS202" s="179"/>
      <c r="IT202" s="179"/>
    </row>
    <row r="204" spans="1:254">
      <c r="A204" s="321" t="s">
        <v>1612</v>
      </c>
      <c r="B204">
        <f>5.94*12*B178</f>
        <v>184080.6</v>
      </c>
    </row>
    <row r="205" spans="1:254">
      <c r="B205" s="276">
        <f>B204+B187</f>
        <v>752434.86989792017</v>
      </c>
    </row>
    <row r="206" spans="1:254">
      <c r="B206">
        <f>B205/B187</f>
        <v>1.3238835524769823</v>
      </c>
    </row>
  </sheetData>
  <mergeCells count="4">
    <mergeCell ref="A1:B1"/>
    <mergeCell ref="A2:B2"/>
    <mergeCell ref="A3:B3"/>
    <mergeCell ref="A176:C176"/>
  </mergeCells>
  <pageMargins left="0.70866141732283472" right="0.70866141732283472" top="0.74803149606299213" bottom="0.74803149606299213" header="0.31496062992125984" footer="0.31496062992125984"/>
  <pageSetup paperSize="9" scale="1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Кирова 19а</vt:lpstr>
      <vt:lpstr>Строительная 28аотчет</vt:lpstr>
      <vt:lpstr>Строительная 28а</vt:lpstr>
      <vt:lpstr>М.Горького 3а</vt:lpstr>
      <vt:lpstr>М.Горького 3б</vt:lpstr>
      <vt:lpstr>М.Горького 4б</vt:lpstr>
      <vt:lpstr>М.Горького 4а</vt:lpstr>
      <vt:lpstr>Лесная 3а</vt:lpstr>
      <vt:lpstr>Лесная 2а</vt:lpstr>
      <vt:lpstr>Пионерская 24а</vt:lpstr>
      <vt:lpstr>Пионерская 20</vt:lpstr>
      <vt:lpstr>Пионерская 18</vt:lpstr>
      <vt:lpstr>Пионерская 16</vt:lpstr>
      <vt:lpstr>Пионерская 14</vt:lpstr>
      <vt:lpstr>Пионерская 6</vt:lpstr>
      <vt:lpstr>Пионерская 4 </vt:lpstr>
      <vt:lpstr>Пионерская 2а</vt:lpstr>
      <vt:lpstr>Гагарина 5а</vt:lpstr>
      <vt:lpstr>Гагарина 2а</vt:lpstr>
      <vt:lpstr>Гагарина 1</vt:lpstr>
      <vt:lpstr>вокзальная 17а</vt:lpstr>
      <vt:lpstr>вокзальная 11а</vt:lpstr>
      <vt:lpstr>вокзальная 9а</vt:lpstr>
      <vt:lpstr>Пушкина 30а</vt:lpstr>
      <vt:lpstr>Пушкина 11а</vt:lpstr>
      <vt:lpstr>Пушкина 7а</vt:lpstr>
      <vt:lpstr>Пушкина 6а</vt:lpstr>
      <vt:lpstr>Пушкина 5а</vt:lpstr>
      <vt:lpstr>Пушкина 4а</vt:lpstr>
      <vt:lpstr>Пушкина 3а</vt:lpstr>
      <vt:lpstr>Пушкина 2а</vt:lpstr>
      <vt:lpstr>Пушкина 2</vt:lpstr>
      <vt:lpstr>7 км дом 2</vt:lpstr>
      <vt:lpstr>7 км дом1</vt:lpstr>
      <vt:lpstr>Западная 15</vt:lpstr>
      <vt:lpstr>Лист1</vt:lpstr>
      <vt:lpstr>свод</vt:lpstr>
      <vt:lpstr>свод 1 </vt:lpstr>
      <vt:lpstr>сводный 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2015-06-22T09:25:38Z</dcterms:modified>
</cp:coreProperties>
</file>